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600" yWindow="60" windowWidth="12645" windowHeight="12510" tabRatio="835"/>
  </bookViews>
  <sheets>
    <sheet name="Raw Data" sheetId="3" r:id="rId1"/>
    <sheet name="Compilation" sheetId="4" r:id="rId2"/>
    <sheet name="Compilation 2" sheetId="5" r:id="rId3"/>
    <sheet name="Table" sheetId="6" r:id="rId4"/>
  </sheets>
  <definedNames>
    <definedName name="_xlnm.Print_Area" localSheetId="1">Compilation!$A$1:$O$44</definedName>
    <definedName name="_xlnm.Print_Area" localSheetId="2">'Compilation 2'!$A$1:$O$54</definedName>
    <definedName name="_xlnm.Print_Area" localSheetId="0">'Raw Data'!$A$1:$M$162</definedName>
    <definedName name="_xlnm.Print_Area" localSheetId="3">Table!$A$1:$X$138</definedName>
    <definedName name="_xlnm.Print_Titles" localSheetId="0">'Raw Data'!$1:$17</definedName>
    <definedName name="_xlnm.Print_Titles" localSheetId="3">Table!$1:$16</definedName>
  </definedNames>
  <calcPr calcId="145621"/>
</workbook>
</file>

<file path=xl/calcChain.xml><?xml version="1.0" encoding="utf-8"?>
<calcChain xmlns="http://schemas.openxmlformats.org/spreadsheetml/2006/main">
  <c r="AC16" i="6" l="1"/>
  <c r="AE10" i="6"/>
  <c r="AC10" i="6"/>
  <c r="A10" i="3"/>
  <c r="AE9" i="6"/>
  <c r="AD9" i="6"/>
  <c r="AC9" i="6"/>
  <c r="C3" i="5"/>
  <c r="C2" i="5"/>
  <c r="K6" i="5"/>
  <c r="K5" i="5"/>
  <c r="K4" i="5"/>
  <c r="K2" i="5"/>
  <c r="K6" i="4"/>
  <c r="K5" i="4"/>
  <c r="K4" i="4"/>
  <c r="K2" i="4"/>
  <c r="I11" i="3"/>
  <c r="I10" i="3"/>
  <c r="I9" i="3"/>
  <c r="I7" i="3"/>
  <c r="N55" i="6"/>
  <c r="P55" i="6" s="1"/>
  <c r="N39" i="6"/>
  <c r="P39" i="6" s="1"/>
  <c r="A7" i="3" l="1"/>
  <c r="H23" i="3"/>
  <c r="K23" i="3" s="1"/>
  <c r="N19" i="6"/>
  <c r="P19" i="6" s="1"/>
  <c r="E23" i="6"/>
  <c r="E27" i="6"/>
  <c r="C2" i="4"/>
  <c r="C3" i="4"/>
  <c r="C5" i="4"/>
  <c r="C5" i="5"/>
  <c r="M7" i="3"/>
  <c r="O3" i="5"/>
  <c r="O3" i="4"/>
  <c r="L23" i="3"/>
  <c r="E34" i="6"/>
  <c r="E42" i="6"/>
  <c r="E46" i="6"/>
  <c r="E50" i="6"/>
  <c r="E74" i="6"/>
  <c r="E90" i="6"/>
  <c r="E106" i="6"/>
  <c r="E22" i="6"/>
  <c r="E26" i="6"/>
  <c r="E30" i="6"/>
  <c r="E114" i="6"/>
  <c r="E122" i="6"/>
  <c r="E126" i="6"/>
  <c r="E128" i="6"/>
  <c r="E130" i="6"/>
  <c r="C4" i="5"/>
  <c r="C4" i="4"/>
  <c r="A9" i="3"/>
  <c r="E19" i="6"/>
  <c r="L23" i="6"/>
  <c r="O23" i="6" s="1"/>
  <c r="N27" i="6"/>
  <c r="P27" i="6" s="1"/>
  <c r="L27" i="6"/>
  <c r="O27" i="6" s="1"/>
  <c r="M27" i="6"/>
  <c r="E31" i="6"/>
  <c r="M39" i="6"/>
  <c r="M55" i="6"/>
  <c r="L55" i="6"/>
  <c r="O55" i="6" s="1"/>
  <c r="E59" i="6"/>
  <c r="E63" i="6"/>
  <c r="E67" i="6"/>
  <c r="E69" i="6"/>
  <c r="E71" i="6"/>
  <c r="E75" i="6"/>
  <c r="E79" i="6"/>
  <c r="E83" i="6"/>
  <c r="E85" i="6"/>
  <c r="E87" i="6"/>
  <c r="E91" i="6"/>
  <c r="E95" i="6"/>
  <c r="E99" i="6"/>
  <c r="E101" i="6"/>
  <c r="E103" i="6"/>
  <c r="E107" i="6"/>
  <c r="E111" i="6"/>
  <c r="E115" i="6"/>
  <c r="E117" i="6"/>
  <c r="E119" i="6"/>
  <c r="E123" i="6"/>
  <c r="E127" i="6"/>
  <c r="E131" i="6"/>
  <c r="E133" i="6"/>
  <c r="E135" i="6"/>
  <c r="A8" i="3"/>
  <c r="M8" i="3"/>
  <c r="L39" i="6"/>
  <c r="O39" i="6" s="1"/>
  <c r="E136" i="6"/>
  <c r="E134" i="6"/>
  <c r="E132" i="6"/>
  <c r="E129" i="6"/>
  <c r="E125" i="6"/>
  <c r="E124" i="6"/>
  <c r="E121" i="6"/>
  <c r="E120" i="6"/>
  <c r="E118" i="6"/>
  <c r="E116" i="6"/>
  <c r="E113" i="6"/>
  <c r="E112" i="6"/>
  <c r="E110" i="6"/>
  <c r="E109" i="6"/>
  <c r="E108" i="6"/>
  <c r="E105" i="6"/>
  <c r="E104" i="6"/>
  <c r="E102" i="6"/>
  <c r="E100" i="6"/>
  <c r="E98" i="6"/>
  <c r="E97" i="6"/>
  <c r="E96" i="6"/>
  <c r="E94" i="6"/>
  <c r="E93" i="6"/>
  <c r="E92" i="6"/>
  <c r="E89" i="6"/>
  <c r="E88" i="6"/>
  <c r="E86" i="6"/>
  <c r="E84" i="6"/>
  <c r="E82" i="6"/>
  <c r="E81" i="6"/>
  <c r="E80" i="6"/>
  <c r="E78" i="6"/>
  <c r="E77" i="6"/>
  <c r="E76" i="6"/>
  <c r="E73" i="6"/>
  <c r="E72" i="6"/>
  <c r="E70" i="6"/>
  <c r="E68" i="6"/>
  <c r="E66" i="6"/>
  <c r="E65" i="6"/>
  <c r="E64" i="6"/>
  <c r="E62" i="6"/>
  <c r="E61" i="6"/>
  <c r="E60" i="6"/>
  <c r="E58" i="6"/>
  <c r="E57" i="6"/>
  <c r="E56" i="6"/>
  <c r="E55" i="6"/>
  <c r="E54" i="6"/>
  <c r="E53" i="6"/>
  <c r="E20" i="6"/>
  <c r="E24" i="6"/>
  <c r="E28" i="6"/>
  <c r="E32" i="6"/>
  <c r="E36" i="6"/>
  <c r="E38" i="6"/>
  <c r="E39" i="6"/>
  <c r="E40" i="6"/>
  <c r="E44" i="6"/>
  <c r="E48" i="6"/>
  <c r="E52" i="6"/>
  <c r="M19" i="6" l="1"/>
  <c r="L19" i="6"/>
  <c r="O19" i="6" s="1"/>
  <c r="O2" i="5"/>
  <c r="M30" i="3"/>
  <c r="N23" i="6"/>
  <c r="P23" i="6" s="1"/>
  <c r="M23" i="6"/>
  <c r="O2" i="4"/>
  <c r="I53" i="6"/>
  <c r="F52" i="6"/>
  <c r="F48" i="6"/>
  <c r="F42" i="6"/>
  <c r="AN23" i="6"/>
  <c r="I39" i="6"/>
  <c r="F38" i="6"/>
  <c r="F34" i="6"/>
  <c r="I31" i="6"/>
  <c r="F30" i="6"/>
  <c r="F20" i="6"/>
  <c r="I56" i="6"/>
  <c r="AN21" i="6"/>
  <c r="F55" i="6"/>
  <c r="I60" i="6"/>
  <c r="F59" i="6"/>
  <c r="I64" i="6"/>
  <c r="F63" i="6"/>
  <c r="I68" i="6"/>
  <c r="F67" i="6"/>
  <c r="I72" i="6"/>
  <c r="F71" i="6"/>
  <c r="I76" i="6"/>
  <c r="F75" i="6"/>
  <c r="I80" i="6"/>
  <c r="F79" i="6"/>
  <c r="F83" i="6"/>
  <c r="I84" i="6"/>
  <c r="F89" i="6"/>
  <c r="I90" i="6"/>
  <c r="F93" i="6"/>
  <c r="I94" i="6"/>
  <c r="F97" i="6"/>
  <c r="I98" i="6"/>
  <c r="F99" i="6"/>
  <c r="I100" i="6"/>
  <c r="AN14" i="6"/>
  <c r="F103" i="6"/>
  <c r="I104" i="6"/>
  <c r="F107" i="6"/>
  <c r="I108" i="6"/>
  <c r="AN13" i="6"/>
  <c r="F113" i="6"/>
  <c r="I114" i="6"/>
  <c r="F117" i="6"/>
  <c r="I118" i="6"/>
  <c r="AN12" i="6"/>
  <c r="F121" i="6"/>
  <c r="I122" i="6"/>
  <c r="F127" i="6"/>
  <c r="I128" i="6"/>
  <c r="F131" i="6"/>
  <c r="I132" i="6"/>
  <c r="F135" i="6"/>
  <c r="I136" i="6"/>
  <c r="AN8" i="6"/>
  <c r="N105" i="6"/>
  <c r="P105" i="6" s="1"/>
  <c r="L105" i="6"/>
  <c r="O105" i="6" s="1"/>
  <c r="M105" i="6"/>
  <c r="M49" i="6"/>
  <c r="L49" i="6"/>
  <c r="O49" i="6" s="1"/>
  <c r="N49" i="6"/>
  <c r="P49" i="6" s="1"/>
  <c r="M43" i="6"/>
  <c r="L43" i="6"/>
  <c r="O43" i="6" s="1"/>
  <c r="N43" i="6"/>
  <c r="P43" i="6" s="1"/>
  <c r="M29" i="6"/>
  <c r="L29" i="6"/>
  <c r="O29" i="6" s="1"/>
  <c r="N29" i="6"/>
  <c r="P29" i="6" s="1"/>
  <c r="M18" i="6"/>
  <c r="N18" i="6"/>
  <c r="P18" i="6" s="1"/>
  <c r="L18" i="6"/>
  <c r="O18" i="6" s="1"/>
  <c r="F50" i="6"/>
  <c r="F46" i="6"/>
  <c r="F44" i="6"/>
  <c r="F40" i="6"/>
  <c r="F36" i="6"/>
  <c r="F32" i="6"/>
  <c r="F28" i="6"/>
  <c r="F24" i="6"/>
  <c r="I54" i="6"/>
  <c r="F53" i="6"/>
  <c r="I58" i="6"/>
  <c r="F57" i="6"/>
  <c r="I62" i="6"/>
  <c r="F61" i="6"/>
  <c r="I66" i="6"/>
  <c r="F65" i="6"/>
  <c r="I70" i="6"/>
  <c r="F69" i="6"/>
  <c r="I74" i="6"/>
  <c r="AN18" i="6"/>
  <c r="F73" i="6"/>
  <c r="I78" i="6"/>
  <c r="F77" i="6"/>
  <c r="F81" i="6"/>
  <c r="I82" i="6"/>
  <c r="AN17" i="6"/>
  <c r="F85" i="6"/>
  <c r="I86" i="6"/>
  <c r="F87" i="6"/>
  <c r="I88" i="6"/>
  <c r="F91" i="6"/>
  <c r="I92" i="6"/>
  <c r="AN16" i="6"/>
  <c r="F95" i="6"/>
  <c r="I96" i="6"/>
  <c r="AN15" i="6"/>
  <c r="F101" i="6"/>
  <c r="I102" i="6"/>
  <c r="F105" i="6"/>
  <c r="I106" i="6"/>
  <c r="F109" i="6"/>
  <c r="I110" i="6"/>
  <c r="F111" i="6"/>
  <c r="I112" i="6"/>
  <c r="F115" i="6"/>
  <c r="I116" i="6"/>
  <c r="F119" i="6"/>
  <c r="I120" i="6"/>
  <c r="I124" i="6"/>
  <c r="F123" i="6"/>
  <c r="F125" i="6"/>
  <c r="I126" i="6"/>
  <c r="AN10" i="6"/>
  <c r="F129" i="6"/>
  <c r="I130" i="6"/>
  <c r="F133" i="6"/>
  <c r="I134" i="6"/>
  <c r="AN9" i="6"/>
  <c r="M63" i="6"/>
  <c r="L63" i="6"/>
  <c r="O63" i="6" s="1"/>
  <c r="N63" i="6"/>
  <c r="P63" i="6" s="1"/>
  <c r="M53" i="6"/>
  <c r="L53" i="6"/>
  <c r="O53" i="6" s="1"/>
  <c r="N53" i="6"/>
  <c r="P53" i="6" s="1"/>
  <c r="M51" i="6"/>
  <c r="L51" i="6"/>
  <c r="O51" i="6" s="1"/>
  <c r="N51" i="6"/>
  <c r="P51" i="6" s="1"/>
  <c r="M47" i="6"/>
  <c r="L47" i="6"/>
  <c r="O47" i="6" s="1"/>
  <c r="N47" i="6"/>
  <c r="P47" i="6" s="1"/>
  <c r="M45" i="6"/>
  <c r="L45" i="6"/>
  <c r="O45" i="6" s="1"/>
  <c r="N45" i="6"/>
  <c r="P45" i="6" s="1"/>
  <c r="M41" i="6"/>
  <c r="L41" i="6"/>
  <c r="O41" i="6" s="1"/>
  <c r="N41" i="6"/>
  <c r="P41" i="6" s="1"/>
  <c r="M37" i="6"/>
  <c r="L37" i="6"/>
  <c r="O37" i="6" s="1"/>
  <c r="N37" i="6"/>
  <c r="P37" i="6" s="1"/>
  <c r="M35" i="6"/>
  <c r="L35" i="6"/>
  <c r="O35" i="6" s="1"/>
  <c r="N35" i="6"/>
  <c r="P35" i="6" s="1"/>
  <c r="M33" i="6"/>
  <c r="L33" i="6"/>
  <c r="O33" i="6" s="1"/>
  <c r="N33" i="6"/>
  <c r="P33" i="6" s="1"/>
  <c r="E51" i="6"/>
  <c r="E49" i="6"/>
  <c r="I49" i="6" s="1"/>
  <c r="E47" i="6"/>
  <c r="E45" i="6"/>
  <c r="I45" i="6" s="1"/>
  <c r="E43" i="6"/>
  <c r="E41" i="6"/>
  <c r="I40" i="6"/>
  <c r="AN24" i="6"/>
  <c r="F39" i="6"/>
  <c r="E37" i="6"/>
  <c r="E35" i="6"/>
  <c r="I35" i="6" s="1"/>
  <c r="E33" i="6"/>
  <c r="I32" i="6"/>
  <c r="F31" i="6"/>
  <c r="E29" i="6"/>
  <c r="F26" i="6"/>
  <c r="I27" i="6"/>
  <c r="F22" i="6"/>
  <c r="I23" i="6"/>
  <c r="E18" i="6"/>
  <c r="I55" i="6"/>
  <c r="F54" i="6"/>
  <c r="I57" i="6"/>
  <c r="F56" i="6"/>
  <c r="I59" i="6"/>
  <c r="F58" i="6"/>
  <c r="I61" i="6"/>
  <c r="F60" i="6"/>
  <c r="I63" i="6"/>
  <c r="F62" i="6"/>
  <c r="I65" i="6"/>
  <c r="AN20" i="6"/>
  <c r="F64" i="6"/>
  <c r="I67" i="6"/>
  <c r="F66" i="6"/>
  <c r="I69" i="6"/>
  <c r="F68" i="6"/>
  <c r="AN19" i="6"/>
  <c r="I71" i="6"/>
  <c r="F70" i="6"/>
  <c r="I73" i="6"/>
  <c r="F72" i="6"/>
  <c r="I75" i="6"/>
  <c r="F74" i="6"/>
  <c r="I77" i="6"/>
  <c r="F76" i="6"/>
  <c r="I79" i="6"/>
  <c r="F78" i="6"/>
  <c r="I81" i="6"/>
  <c r="F80" i="6"/>
  <c r="F82" i="6"/>
  <c r="I83" i="6"/>
  <c r="F84" i="6"/>
  <c r="I85" i="6"/>
  <c r="F86" i="6"/>
  <c r="I87" i="6"/>
  <c r="F88" i="6"/>
  <c r="I89" i="6"/>
  <c r="F90" i="6"/>
  <c r="I91" i="6"/>
  <c r="F92" i="6"/>
  <c r="I93" i="6"/>
  <c r="F94" i="6"/>
  <c r="I95" i="6"/>
  <c r="F96" i="6"/>
  <c r="I97" i="6"/>
  <c r="F98" i="6"/>
  <c r="I99" i="6"/>
  <c r="F100" i="6"/>
  <c r="I101" i="6"/>
  <c r="F102" i="6"/>
  <c r="I103" i="6"/>
  <c r="F104" i="6"/>
  <c r="I105" i="6"/>
  <c r="F106" i="6"/>
  <c r="I107" i="6"/>
  <c r="F108" i="6"/>
  <c r="I109" i="6"/>
  <c r="F110" i="6"/>
  <c r="I111" i="6"/>
  <c r="F112" i="6"/>
  <c r="I113" i="6"/>
  <c r="F114" i="6"/>
  <c r="I115" i="6"/>
  <c r="F116" i="6"/>
  <c r="I117" i="6"/>
  <c r="F118" i="6"/>
  <c r="I119" i="6"/>
  <c r="F120" i="6"/>
  <c r="I121" i="6"/>
  <c r="AN11" i="6"/>
  <c r="I123" i="6"/>
  <c r="F122" i="6"/>
  <c r="F124" i="6"/>
  <c r="I125" i="6"/>
  <c r="F126" i="6"/>
  <c r="I127" i="6"/>
  <c r="F128" i="6"/>
  <c r="I129" i="6"/>
  <c r="F130" i="6"/>
  <c r="I131" i="6"/>
  <c r="F132" i="6"/>
  <c r="I133" i="6"/>
  <c r="F134" i="6"/>
  <c r="I135" i="6"/>
  <c r="F136" i="6"/>
  <c r="N25" i="6"/>
  <c r="P25" i="6" s="1"/>
  <c r="L25" i="6"/>
  <c r="O25" i="6" s="1"/>
  <c r="M25" i="6"/>
  <c r="E25" i="6"/>
  <c r="I25" i="6" s="1"/>
  <c r="N21" i="6"/>
  <c r="P21" i="6" s="1"/>
  <c r="L21" i="6"/>
  <c r="O21" i="6" s="1"/>
  <c r="M21" i="6"/>
  <c r="E21" i="6"/>
  <c r="N135" i="6"/>
  <c r="P135" i="6" s="1"/>
  <c r="L135" i="6"/>
  <c r="O135" i="6" s="1"/>
  <c r="M135" i="6"/>
  <c r="N133" i="6"/>
  <c r="P133" i="6" s="1"/>
  <c r="L133" i="6"/>
  <c r="O133" i="6" s="1"/>
  <c r="M133" i="6"/>
  <c r="N131" i="6"/>
  <c r="P131" i="6" s="1"/>
  <c r="L131" i="6"/>
  <c r="O131" i="6" s="1"/>
  <c r="M131" i="6"/>
  <c r="N129" i="6"/>
  <c r="P129" i="6" s="1"/>
  <c r="L129" i="6"/>
  <c r="O129" i="6" s="1"/>
  <c r="M129" i="6"/>
  <c r="N127" i="6"/>
  <c r="P127" i="6" s="1"/>
  <c r="L127" i="6"/>
  <c r="O127" i="6" s="1"/>
  <c r="M127" i="6"/>
  <c r="N125" i="6"/>
  <c r="P125" i="6" s="1"/>
  <c r="L125" i="6"/>
  <c r="O125" i="6" s="1"/>
  <c r="M125" i="6"/>
  <c r="N123" i="6"/>
  <c r="P123" i="6" s="1"/>
  <c r="L123" i="6"/>
  <c r="O123" i="6" s="1"/>
  <c r="M123" i="6"/>
  <c r="N121" i="6"/>
  <c r="P121" i="6" s="1"/>
  <c r="L121" i="6"/>
  <c r="O121" i="6" s="1"/>
  <c r="M121" i="6"/>
  <c r="N119" i="6"/>
  <c r="P119" i="6" s="1"/>
  <c r="L119" i="6"/>
  <c r="O119" i="6" s="1"/>
  <c r="M119" i="6"/>
  <c r="N117" i="6"/>
  <c r="P117" i="6" s="1"/>
  <c r="L117" i="6"/>
  <c r="O117" i="6" s="1"/>
  <c r="M117" i="6"/>
  <c r="N115" i="6"/>
  <c r="P115" i="6" s="1"/>
  <c r="L115" i="6"/>
  <c r="O115" i="6" s="1"/>
  <c r="M115" i="6"/>
  <c r="N113" i="6"/>
  <c r="P113" i="6" s="1"/>
  <c r="L113" i="6"/>
  <c r="O113" i="6" s="1"/>
  <c r="M113" i="6"/>
  <c r="N111" i="6"/>
  <c r="P111" i="6" s="1"/>
  <c r="L111" i="6"/>
  <c r="O111" i="6" s="1"/>
  <c r="M111" i="6"/>
  <c r="N109" i="6"/>
  <c r="P109" i="6" s="1"/>
  <c r="L109" i="6"/>
  <c r="O109" i="6" s="1"/>
  <c r="M109" i="6"/>
  <c r="N107" i="6"/>
  <c r="P107" i="6" s="1"/>
  <c r="L107" i="6"/>
  <c r="O107" i="6" s="1"/>
  <c r="M107" i="6"/>
  <c r="N103" i="6"/>
  <c r="P103" i="6" s="1"/>
  <c r="L103" i="6"/>
  <c r="O103" i="6" s="1"/>
  <c r="M103" i="6"/>
  <c r="N101" i="6"/>
  <c r="P101" i="6" s="1"/>
  <c r="L101" i="6"/>
  <c r="O101" i="6" s="1"/>
  <c r="M101" i="6"/>
  <c r="N99" i="6"/>
  <c r="P99" i="6" s="1"/>
  <c r="L99" i="6"/>
  <c r="O99" i="6" s="1"/>
  <c r="M99" i="6"/>
  <c r="N97" i="6"/>
  <c r="P97" i="6" s="1"/>
  <c r="L97" i="6"/>
  <c r="O97" i="6" s="1"/>
  <c r="M97" i="6"/>
  <c r="N95" i="6"/>
  <c r="P95" i="6" s="1"/>
  <c r="L95" i="6"/>
  <c r="O95" i="6" s="1"/>
  <c r="M95" i="6"/>
  <c r="N93" i="6"/>
  <c r="P93" i="6" s="1"/>
  <c r="L93" i="6"/>
  <c r="O93" i="6" s="1"/>
  <c r="M93" i="6"/>
  <c r="N91" i="6"/>
  <c r="P91" i="6" s="1"/>
  <c r="L91" i="6"/>
  <c r="O91" i="6" s="1"/>
  <c r="M91" i="6"/>
  <c r="N89" i="6"/>
  <c r="P89" i="6" s="1"/>
  <c r="L89" i="6"/>
  <c r="O89" i="6" s="1"/>
  <c r="M89" i="6"/>
  <c r="N87" i="6"/>
  <c r="P87" i="6" s="1"/>
  <c r="L87" i="6"/>
  <c r="O87" i="6" s="1"/>
  <c r="M87" i="6"/>
  <c r="N85" i="6"/>
  <c r="P85" i="6" s="1"/>
  <c r="L85" i="6"/>
  <c r="O85" i="6" s="1"/>
  <c r="M85" i="6"/>
  <c r="N83" i="6"/>
  <c r="P83" i="6" s="1"/>
  <c r="L83" i="6"/>
  <c r="O83" i="6" s="1"/>
  <c r="M83" i="6"/>
  <c r="N81" i="6"/>
  <c r="P81" i="6" s="1"/>
  <c r="L81" i="6"/>
  <c r="O81" i="6" s="1"/>
  <c r="M81" i="6"/>
  <c r="M79" i="6"/>
  <c r="L79" i="6"/>
  <c r="O79" i="6" s="1"/>
  <c r="N79" i="6"/>
  <c r="P79" i="6" s="1"/>
  <c r="M77" i="6"/>
  <c r="L77" i="6"/>
  <c r="N77" i="6"/>
  <c r="P77" i="6" s="1"/>
  <c r="M75" i="6"/>
  <c r="L75" i="6"/>
  <c r="O75" i="6" s="1"/>
  <c r="N75" i="6"/>
  <c r="P75" i="6" s="1"/>
  <c r="M73" i="6"/>
  <c r="L73" i="6"/>
  <c r="O73" i="6" s="1"/>
  <c r="N73" i="6"/>
  <c r="P73" i="6" s="1"/>
  <c r="M71" i="6"/>
  <c r="L71" i="6"/>
  <c r="O71" i="6" s="1"/>
  <c r="N71" i="6"/>
  <c r="P71" i="6" s="1"/>
  <c r="M69" i="6"/>
  <c r="L69" i="6"/>
  <c r="O69" i="6" s="1"/>
  <c r="N69" i="6"/>
  <c r="P69" i="6" s="1"/>
  <c r="M67" i="6"/>
  <c r="L67" i="6"/>
  <c r="O67" i="6" s="1"/>
  <c r="N67" i="6"/>
  <c r="P67" i="6" s="1"/>
  <c r="M65" i="6"/>
  <c r="L65" i="6"/>
  <c r="O65" i="6" s="1"/>
  <c r="N65" i="6"/>
  <c r="P65" i="6" s="1"/>
  <c r="M61" i="6"/>
  <c r="L61" i="6"/>
  <c r="O61" i="6" s="1"/>
  <c r="N61" i="6"/>
  <c r="P61" i="6" s="1"/>
  <c r="M59" i="6"/>
  <c r="L59" i="6"/>
  <c r="O59" i="6" s="1"/>
  <c r="N59" i="6"/>
  <c r="P59" i="6" s="1"/>
  <c r="M57" i="6"/>
  <c r="L57" i="6"/>
  <c r="O57" i="6" s="1"/>
  <c r="N57" i="6"/>
  <c r="P57" i="6" s="1"/>
  <c r="M31" i="6"/>
  <c r="L31" i="6"/>
  <c r="O31" i="6" s="1"/>
  <c r="N31" i="6"/>
  <c r="P31" i="6" s="1"/>
  <c r="I28" i="6"/>
  <c r="F27" i="6"/>
  <c r="I24" i="6"/>
  <c r="F23" i="6"/>
  <c r="I20" i="6"/>
  <c r="F19" i="6"/>
  <c r="N136" i="6"/>
  <c r="P136" i="6" s="1"/>
  <c r="L136" i="6"/>
  <c r="O136" i="6" s="1"/>
  <c r="M136" i="6"/>
  <c r="N134" i="6"/>
  <c r="P134" i="6" s="1"/>
  <c r="L134" i="6"/>
  <c r="O134" i="6" s="1"/>
  <c r="M134" i="6"/>
  <c r="N132" i="6"/>
  <c r="P132" i="6" s="1"/>
  <c r="L132" i="6"/>
  <c r="O132" i="6" s="1"/>
  <c r="M132" i="6"/>
  <c r="N130" i="6"/>
  <c r="P130" i="6" s="1"/>
  <c r="L130" i="6"/>
  <c r="O130" i="6" s="1"/>
  <c r="M130" i="6"/>
  <c r="N128" i="6"/>
  <c r="P128" i="6" s="1"/>
  <c r="L128" i="6"/>
  <c r="O128" i="6" s="1"/>
  <c r="M128" i="6"/>
  <c r="N126" i="6"/>
  <c r="P126" i="6" s="1"/>
  <c r="L126" i="6"/>
  <c r="O126" i="6" s="1"/>
  <c r="M126" i="6"/>
  <c r="N124" i="6"/>
  <c r="P124" i="6" s="1"/>
  <c r="L124" i="6"/>
  <c r="O124" i="6" s="1"/>
  <c r="M124" i="6"/>
  <c r="N122" i="6"/>
  <c r="P122" i="6" s="1"/>
  <c r="L122" i="6"/>
  <c r="O122" i="6" s="1"/>
  <c r="M122" i="6"/>
  <c r="N120" i="6"/>
  <c r="P120" i="6" s="1"/>
  <c r="L120" i="6"/>
  <c r="O120" i="6" s="1"/>
  <c r="M120" i="6"/>
  <c r="N118" i="6"/>
  <c r="P118" i="6" s="1"/>
  <c r="L118" i="6"/>
  <c r="O118" i="6" s="1"/>
  <c r="M118" i="6"/>
  <c r="N116" i="6"/>
  <c r="P116" i="6" s="1"/>
  <c r="L116" i="6"/>
  <c r="O116" i="6" s="1"/>
  <c r="M116" i="6"/>
  <c r="N114" i="6"/>
  <c r="P114" i="6" s="1"/>
  <c r="L114" i="6"/>
  <c r="O114" i="6" s="1"/>
  <c r="M114" i="6"/>
  <c r="M32" i="6"/>
  <c r="L32" i="6"/>
  <c r="O32" i="6" s="1"/>
  <c r="N32" i="6"/>
  <c r="P32" i="6" s="1"/>
  <c r="M30" i="6"/>
  <c r="L30" i="6"/>
  <c r="O30" i="6" s="1"/>
  <c r="N30" i="6"/>
  <c r="P30" i="6" s="1"/>
  <c r="M28" i="6"/>
  <c r="L28" i="6"/>
  <c r="O28" i="6" s="1"/>
  <c r="N28" i="6"/>
  <c r="P28" i="6" s="1"/>
  <c r="M26" i="6"/>
  <c r="N26" i="6"/>
  <c r="P26" i="6" s="1"/>
  <c r="L26" i="6"/>
  <c r="O26" i="6" s="1"/>
  <c r="M24" i="6"/>
  <c r="L24" i="6"/>
  <c r="O24" i="6" s="1"/>
  <c r="N24" i="6"/>
  <c r="P24" i="6" s="1"/>
  <c r="M22" i="6"/>
  <c r="N22" i="6"/>
  <c r="P22" i="6" s="1"/>
  <c r="L22" i="6"/>
  <c r="O22" i="6" s="1"/>
  <c r="M20" i="6"/>
  <c r="L20" i="6"/>
  <c r="O20" i="6" s="1"/>
  <c r="N20" i="6"/>
  <c r="P20" i="6" s="1"/>
  <c r="N112" i="6"/>
  <c r="P112" i="6" s="1"/>
  <c r="L112" i="6"/>
  <c r="O112" i="6" s="1"/>
  <c r="M112" i="6"/>
  <c r="N110" i="6"/>
  <c r="P110" i="6" s="1"/>
  <c r="L110" i="6"/>
  <c r="O110" i="6" s="1"/>
  <c r="M110" i="6"/>
  <c r="N108" i="6"/>
  <c r="P108" i="6" s="1"/>
  <c r="L108" i="6"/>
  <c r="O108" i="6" s="1"/>
  <c r="M108" i="6"/>
  <c r="N106" i="6"/>
  <c r="P106" i="6" s="1"/>
  <c r="L106" i="6"/>
  <c r="O106" i="6" s="1"/>
  <c r="M106" i="6"/>
  <c r="N104" i="6"/>
  <c r="P104" i="6" s="1"/>
  <c r="L104" i="6"/>
  <c r="O104" i="6" s="1"/>
  <c r="M104" i="6"/>
  <c r="N102" i="6"/>
  <c r="P102" i="6" s="1"/>
  <c r="L102" i="6"/>
  <c r="O102" i="6" s="1"/>
  <c r="M102" i="6"/>
  <c r="N100" i="6"/>
  <c r="P100" i="6" s="1"/>
  <c r="L100" i="6"/>
  <c r="O100" i="6" s="1"/>
  <c r="M100" i="6"/>
  <c r="N98" i="6"/>
  <c r="P98" i="6" s="1"/>
  <c r="L98" i="6"/>
  <c r="O98" i="6" s="1"/>
  <c r="M98" i="6"/>
  <c r="N96" i="6"/>
  <c r="P96" i="6" s="1"/>
  <c r="L96" i="6"/>
  <c r="O96" i="6" s="1"/>
  <c r="M96" i="6"/>
  <c r="N94" i="6"/>
  <c r="P94" i="6" s="1"/>
  <c r="L94" i="6"/>
  <c r="O94" i="6" s="1"/>
  <c r="M94" i="6"/>
  <c r="N92" i="6"/>
  <c r="P92" i="6" s="1"/>
  <c r="L92" i="6"/>
  <c r="O92" i="6" s="1"/>
  <c r="M92" i="6"/>
  <c r="N90" i="6"/>
  <c r="P90" i="6" s="1"/>
  <c r="L90" i="6"/>
  <c r="O90" i="6" s="1"/>
  <c r="M90" i="6"/>
  <c r="N88" i="6"/>
  <c r="P88" i="6" s="1"/>
  <c r="L88" i="6"/>
  <c r="O88" i="6" s="1"/>
  <c r="M88" i="6"/>
  <c r="N86" i="6"/>
  <c r="P86" i="6" s="1"/>
  <c r="L86" i="6"/>
  <c r="O86" i="6" s="1"/>
  <c r="M86" i="6"/>
  <c r="N84" i="6"/>
  <c r="P84" i="6" s="1"/>
  <c r="L84" i="6"/>
  <c r="O84" i="6" s="1"/>
  <c r="M84" i="6"/>
  <c r="N82" i="6"/>
  <c r="P82" i="6" s="1"/>
  <c r="L82" i="6"/>
  <c r="O82" i="6" s="1"/>
  <c r="M82" i="6"/>
  <c r="M80" i="6"/>
  <c r="L80" i="6"/>
  <c r="O80" i="6" s="1"/>
  <c r="N80" i="6"/>
  <c r="P80" i="6" s="1"/>
  <c r="M78" i="6"/>
  <c r="L78" i="6"/>
  <c r="O78" i="6" s="1"/>
  <c r="N78" i="6"/>
  <c r="P78" i="6" s="1"/>
  <c r="M76" i="6"/>
  <c r="L76" i="6"/>
  <c r="O76" i="6" s="1"/>
  <c r="N76" i="6"/>
  <c r="P76" i="6" s="1"/>
  <c r="M74" i="6"/>
  <c r="L74" i="6"/>
  <c r="O74" i="6" s="1"/>
  <c r="N74" i="6"/>
  <c r="P74" i="6" s="1"/>
  <c r="M72" i="6"/>
  <c r="L72" i="6"/>
  <c r="O72" i="6" s="1"/>
  <c r="N72" i="6"/>
  <c r="P72" i="6" s="1"/>
  <c r="M70" i="6"/>
  <c r="L70" i="6"/>
  <c r="O70" i="6" s="1"/>
  <c r="N70" i="6"/>
  <c r="P70" i="6" s="1"/>
  <c r="M68" i="6"/>
  <c r="L68" i="6"/>
  <c r="O68" i="6" s="1"/>
  <c r="N68" i="6"/>
  <c r="P68" i="6" s="1"/>
  <c r="M66" i="6"/>
  <c r="L66" i="6"/>
  <c r="O66" i="6" s="1"/>
  <c r="N66" i="6"/>
  <c r="P66" i="6" s="1"/>
  <c r="M64" i="6"/>
  <c r="L64" i="6"/>
  <c r="O64" i="6" s="1"/>
  <c r="N64" i="6"/>
  <c r="P64" i="6" s="1"/>
  <c r="M62" i="6"/>
  <c r="L62" i="6"/>
  <c r="O62" i="6" s="1"/>
  <c r="N62" i="6"/>
  <c r="P62" i="6" s="1"/>
  <c r="M60" i="6"/>
  <c r="L60" i="6"/>
  <c r="O60" i="6" s="1"/>
  <c r="N60" i="6"/>
  <c r="P60" i="6" s="1"/>
  <c r="M58" i="6"/>
  <c r="L58" i="6"/>
  <c r="O58" i="6" s="1"/>
  <c r="N58" i="6"/>
  <c r="P58" i="6" s="1"/>
  <c r="M56" i="6"/>
  <c r="L56" i="6"/>
  <c r="O56" i="6" s="1"/>
  <c r="N56" i="6"/>
  <c r="P56" i="6" s="1"/>
  <c r="M54" i="6"/>
  <c r="L54" i="6"/>
  <c r="O54" i="6" s="1"/>
  <c r="N54" i="6"/>
  <c r="P54" i="6" s="1"/>
  <c r="M52" i="6"/>
  <c r="L52" i="6"/>
  <c r="O52" i="6" s="1"/>
  <c r="N52" i="6"/>
  <c r="P52" i="6" s="1"/>
  <c r="M50" i="6"/>
  <c r="L50" i="6"/>
  <c r="O50" i="6" s="1"/>
  <c r="N50" i="6"/>
  <c r="P50" i="6" s="1"/>
  <c r="M48" i="6"/>
  <c r="L48" i="6"/>
  <c r="O48" i="6" s="1"/>
  <c r="N48" i="6"/>
  <c r="P48" i="6" s="1"/>
  <c r="M46" i="6"/>
  <c r="L46" i="6"/>
  <c r="O46" i="6" s="1"/>
  <c r="N46" i="6"/>
  <c r="P46" i="6" s="1"/>
  <c r="M44" i="6"/>
  <c r="L44" i="6"/>
  <c r="O44" i="6" s="1"/>
  <c r="N44" i="6"/>
  <c r="P44" i="6" s="1"/>
  <c r="M42" i="6"/>
  <c r="L42" i="6"/>
  <c r="O42" i="6" s="1"/>
  <c r="N42" i="6"/>
  <c r="P42" i="6" s="1"/>
  <c r="M40" i="6"/>
  <c r="L40" i="6"/>
  <c r="O40" i="6" s="1"/>
  <c r="N40" i="6"/>
  <c r="P40" i="6" s="1"/>
  <c r="M38" i="6"/>
  <c r="L38" i="6"/>
  <c r="O38" i="6" s="1"/>
  <c r="N38" i="6"/>
  <c r="P38" i="6" s="1"/>
  <c r="M36" i="6"/>
  <c r="L36" i="6"/>
  <c r="O36" i="6" s="1"/>
  <c r="N36" i="6"/>
  <c r="P36" i="6" s="1"/>
  <c r="M34" i="6"/>
  <c r="L34" i="6"/>
  <c r="O34" i="6" s="1"/>
  <c r="N34" i="6"/>
  <c r="P34" i="6" s="1"/>
  <c r="O77" i="6" l="1"/>
  <c r="AN26" i="6"/>
  <c r="I22" i="6"/>
  <c r="F21" i="6"/>
  <c r="I30" i="6"/>
  <c r="AN25" i="6"/>
  <c r="F29" i="6"/>
  <c r="I34" i="6"/>
  <c r="F33" i="6"/>
  <c r="I38" i="6"/>
  <c r="F37" i="6"/>
  <c r="I44" i="6"/>
  <c r="F43" i="6"/>
  <c r="I48" i="6"/>
  <c r="AN22" i="6"/>
  <c r="F47" i="6"/>
  <c r="I52" i="6"/>
  <c r="F51" i="6"/>
  <c r="I29" i="6"/>
  <c r="I37" i="6"/>
  <c r="I51" i="6"/>
  <c r="I26" i="6"/>
  <c r="F25" i="6"/>
  <c r="I18" i="6"/>
  <c r="F18" i="6"/>
  <c r="AN27" i="6"/>
  <c r="I19" i="6"/>
  <c r="I36" i="6"/>
  <c r="F35" i="6"/>
  <c r="I42" i="6"/>
  <c r="F41" i="6"/>
  <c r="I46" i="6"/>
  <c r="F45" i="6"/>
  <c r="I50" i="6"/>
  <c r="F49" i="6"/>
  <c r="I33" i="6"/>
  <c r="I41" i="6"/>
  <c r="I47" i="6"/>
  <c r="I21" i="6"/>
  <c r="I43" i="6"/>
  <c r="C18" i="3" l="1"/>
  <c r="Q18" i="6" s="1"/>
  <c r="R18" i="6" l="1"/>
  <c r="U18" i="6" s="1"/>
  <c r="V18" i="6" s="1"/>
  <c r="C19" i="3" l="1"/>
  <c r="C20" i="3" l="1"/>
  <c r="R19" i="6"/>
  <c r="U19" i="6" s="1"/>
  <c r="V19" i="6" s="1"/>
  <c r="Q19" i="6"/>
  <c r="C21" i="3" l="1"/>
  <c r="Q20" i="6"/>
  <c r="R20" i="6"/>
  <c r="U20" i="6" s="1"/>
  <c r="V20" i="6" s="1"/>
  <c r="R21" i="6" l="1"/>
  <c r="U21" i="6" s="1"/>
  <c r="V21" i="6" s="1"/>
  <c r="Q21" i="6"/>
  <c r="C22" i="3"/>
  <c r="Q22" i="6" l="1"/>
  <c r="R22" i="6"/>
  <c r="U22" i="6" s="1"/>
  <c r="V22" i="6" s="1"/>
  <c r="C23" i="3"/>
  <c r="R23" i="6" l="1"/>
  <c r="U23" i="6" s="1"/>
  <c r="V23" i="6" s="1"/>
  <c r="Q23" i="6"/>
  <c r="C24" i="3"/>
  <c r="C25" i="3" l="1"/>
  <c r="Q24" i="6"/>
  <c r="R24" i="6"/>
  <c r="U24" i="6" s="1"/>
  <c r="V24" i="6" s="1"/>
  <c r="C26" i="3" l="1"/>
  <c r="R25" i="6"/>
  <c r="U25" i="6" s="1"/>
  <c r="V25" i="6" s="1"/>
  <c r="Q25" i="6"/>
  <c r="C27" i="3" l="1"/>
  <c r="Q26" i="6"/>
  <c r="R26" i="6"/>
  <c r="U26" i="6" s="1"/>
  <c r="V26" i="6" s="1"/>
  <c r="C28" i="3" l="1"/>
  <c r="R27" i="6"/>
  <c r="U27" i="6" s="1"/>
  <c r="V27" i="6" s="1"/>
  <c r="Q27" i="6"/>
  <c r="C29" i="3" l="1"/>
  <c r="Q28" i="6"/>
  <c r="R28" i="6"/>
  <c r="U28" i="6" s="1"/>
  <c r="V28" i="6" s="1"/>
  <c r="C30" i="3" l="1"/>
  <c r="Q29" i="6"/>
  <c r="R29" i="6"/>
  <c r="U29" i="6" s="1"/>
  <c r="V29" i="6" s="1"/>
  <c r="C31" i="3" l="1"/>
  <c r="Q30" i="6"/>
  <c r="R30" i="6"/>
  <c r="U30" i="6" s="1"/>
  <c r="V30" i="6" s="1"/>
  <c r="C32" i="3" l="1"/>
  <c r="Q31" i="6"/>
  <c r="R31" i="6"/>
  <c r="U31" i="6" s="1"/>
  <c r="V31" i="6" s="1"/>
  <c r="C33" i="3" l="1"/>
  <c r="Q32" i="6"/>
  <c r="R32" i="6"/>
  <c r="U32" i="6" s="1"/>
  <c r="V32" i="6" s="1"/>
  <c r="C34" i="3" l="1"/>
  <c r="Q33" i="6"/>
  <c r="R33" i="6"/>
  <c r="U33" i="6" s="1"/>
  <c r="V33" i="6" s="1"/>
  <c r="C35" i="3" l="1"/>
  <c r="Q34" i="6"/>
  <c r="R34" i="6"/>
  <c r="U34" i="6" s="1"/>
  <c r="V34" i="6" s="1"/>
  <c r="C36" i="3" l="1"/>
  <c r="Q35" i="6"/>
  <c r="R35" i="6"/>
  <c r="U35" i="6" s="1"/>
  <c r="V35" i="6" s="1"/>
  <c r="C37" i="3" l="1"/>
  <c r="Q36" i="6"/>
  <c r="R36" i="6"/>
  <c r="U36" i="6" s="1"/>
  <c r="V36" i="6" s="1"/>
  <c r="C38" i="3" l="1"/>
  <c r="Q37" i="6"/>
  <c r="R37" i="6"/>
  <c r="U37" i="6" s="1"/>
  <c r="V37" i="6" s="1"/>
  <c r="C39" i="3" l="1"/>
  <c r="Q38" i="6"/>
  <c r="R38" i="6"/>
  <c r="U38" i="6" s="1"/>
  <c r="V38" i="6" s="1"/>
  <c r="C40" i="3" l="1"/>
  <c r="Q39" i="6"/>
  <c r="R39" i="6"/>
  <c r="U39" i="6" s="1"/>
  <c r="V39" i="6" s="1"/>
  <c r="C41" i="3" l="1"/>
  <c r="Q40" i="6"/>
  <c r="R40" i="6"/>
  <c r="U40" i="6" s="1"/>
  <c r="V40" i="6" s="1"/>
  <c r="C42" i="3" l="1"/>
  <c r="Q41" i="6"/>
  <c r="R41" i="6"/>
  <c r="U41" i="6" s="1"/>
  <c r="V41" i="6" s="1"/>
  <c r="C43" i="3" l="1"/>
  <c r="Q42" i="6"/>
  <c r="R42" i="6"/>
  <c r="U42" i="6" s="1"/>
  <c r="V42" i="6" s="1"/>
  <c r="C44" i="3" l="1"/>
  <c r="Q43" i="6"/>
  <c r="R43" i="6"/>
  <c r="U43" i="6" s="1"/>
  <c r="V43" i="6" s="1"/>
  <c r="C45" i="3" l="1"/>
  <c r="Q44" i="6"/>
  <c r="R44" i="6"/>
  <c r="U44" i="6" s="1"/>
  <c r="V44" i="6" s="1"/>
  <c r="C46" i="3" l="1"/>
  <c r="Q45" i="6"/>
  <c r="R45" i="6"/>
  <c r="U45" i="6" s="1"/>
  <c r="V45" i="6" s="1"/>
  <c r="C47" i="3" l="1"/>
  <c r="Q46" i="6"/>
  <c r="R46" i="6"/>
  <c r="U46" i="6" s="1"/>
  <c r="V46" i="6" s="1"/>
  <c r="C48" i="3" l="1"/>
  <c r="Q47" i="6"/>
  <c r="R47" i="6"/>
  <c r="U47" i="6" s="1"/>
  <c r="V47" i="6" s="1"/>
  <c r="C49" i="3" l="1"/>
  <c r="Q48" i="6"/>
  <c r="R48" i="6"/>
  <c r="U48" i="6" s="1"/>
  <c r="V48" i="6" s="1"/>
  <c r="C50" i="3" l="1"/>
  <c r="Q49" i="6"/>
  <c r="R49" i="6"/>
  <c r="U49" i="6" s="1"/>
  <c r="V49" i="6" s="1"/>
  <c r="C51" i="3" l="1"/>
  <c r="Q50" i="6"/>
  <c r="R50" i="6"/>
  <c r="U50" i="6" s="1"/>
  <c r="V50" i="6" s="1"/>
  <c r="C52" i="3" l="1"/>
  <c r="Q51" i="6"/>
  <c r="R51" i="6"/>
  <c r="U51" i="6" s="1"/>
  <c r="V51" i="6" s="1"/>
  <c r="C53" i="3" l="1"/>
  <c r="Q52" i="6"/>
  <c r="R52" i="6"/>
  <c r="U52" i="6" s="1"/>
  <c r="V52" i="6" s="1"/>
  <c r="C54" i="3" l="1"/>
  <c r="Q53" i="6"/>
  <c r="R53" i="6"/>
  <c r="U53" i="6" s="1"/>
  <c r="V53" i="6" s="1"/>
  <c r="C55" i="3" l="1"/>
  <c r="Q54" i="6"/>
  <c r="R54" i="6"/>
  <c r="U54" i="6" s="1"/>
  <c r="V54" i="6" s="1"/>
  <c r="C56" i="3" l="1"/>
  <c r="Q55" i="6"/>
  <c r="R55" i="6"/>
  <c r="U55" i="6" s="1"/>
  <c r="V55" i="6" s="1"/>
  <c r="C57" i="3" l="1"/>
  <c r="Q56" i="6"/>
  <c r="R56" i="6"/>
  <c r="U56" i="6" s="1"/>
  <c r="V56" i="6" s="1"/>
  <c r="C58" i="3" l="1"/>
  <c r="Q57" i="6"/>
  <c r="R57" i="6"/>
  <c r="U57" i="6" s="1"/>
  <c r="V57" i="6" s="1"/>
  <c r="C59" i="3" l="1"/>
  <c r="Q58" i="6"/>
  <c r="R58" i="6"/>
  <c r="U58" i="6" s="1"/>
  <c r="V58" i="6" s="1"/>
  <c r="C60" i="3" l="1"/>
  <c r="Q59" i="6"/>
  <c r="R59" i="6"/>
  <c r="U59" i="6" s="1"/>
  <c r="V59" i="6" s="1"/>
  <c r="C61" i="3" l="1"/>
  <c r="Q60" i="6"/>
  <c r="R60" i="6"/>
  <c r="U60" i="6" s="1"/>
  <c r="V60" i="6" s="1"/>
  <c r="C62" i="3" l="1"/>
  <c r="Q61" i="6"/>
  <c r="R61" i="6"/>
  <c r="U61" i="6" s="1"/>
  <c r="V61" i="6" s="1"/>
  <c r="C63" i="3" l="1"/>
  <c r="Q62" i="6"/>
  <c r="R62" i="6"/>
  <c r="U62" i="6" s="1"/>
  <c r="V62" i="6" s="1"/>
  <c r="C64" i="3" l="1"/>
  <c r="Q63" i="6"/>
  <c r="R63" i="6"/>
  <c r="U63" i="6" s="1"/>
  <c r="V63" i="6" s="1"/>
  <c r="C65" i="3" l="1"/>
  <c r="Q64" i="6"/>
  <c r="R64" i="6"/>
  <c r="U64" i="6" s="1"/>
  <c r="V64" i="6" s="1"/>
  <c r="C66" i="3" l="1"/>
  <c r="Q65" i="6"/>
  <c r="R65" i="6"/>
  <c r="U65" i="6" s="1"/>
  <c r="V65" i="6" s="1"/>
  <c r="C67" i="3" l="1"/>
  <c r="Q66" i="6"/>
  <c r="R66" i="6"/>
  <c r="U66" i="6" s="1"/>
  <c r="V66" i="6" s="1"/>
  <c r="C68" i="3" l="1"/>
  <c r="Q67" i="6"/>
  <c r="R67" i="6"/>
  <c r="U67" i="6" s="1"/>
  <c r="V67" i="6" s="1"/>
  <c r="C69" i="3" l="1"/>
  <c r="Q68" i="6"/>
  <c r="R68" i="6"/>
  <c r="U68" i="6" s="1"/>
  <c r="V68" i="6" s="1"/>
  <c r="Q69" i="6" l="1"/>
  <c r="R69" i="6"/>
  <c r="U69" i="6" s="1"/>
  <c r="V69" i="6" s="1"/>
  <c r="C70" i="3"/>
  <c r="Q70" i="6" l="1"/>
  <c r="R70" i="6"/>
  <c r="U70" i="6" s="1"/>
  <c r="V70" i="6" s="1"/>
  <c r="C71" i="3"/>
  <c r="Q71" i="6" l="1"/>
  <c r="R71" i="6"/>
  <c r="U71" i="6" s="1"/>
  <c r="V71" i="6" s="1"/>
  <c r="C72" i="3"/>
  <c r="C73" i="3" l="1"/>
  <c r="Q72" i="6"/>
  <c r="R72" i="6"/>
  <c r="U72" i="6" s="1"/>
  <c r="V72" i="6" s="1"/>
  <c r="C74" i="3" l="1"/>
  <c r="Q73" i="6"/>
  <c r="R73" i="6"/>
  <c r="U73" i="6" s="1"/>
  <c r="V73" i="6" s="1"/>
  <c r="C75" i="3" l="1"/>
  <c r="Q74" i="6"/>
  <c r="R74" i="6"/>
  <c r="U74" i="6" s="1"/>
  <c r="V74" i="6" s="1"/>
  <c r="C76" i="3" l="1"/>
  <c r="Q75" i="6"/>
  <c r="R75" i="6"/>
  <c r="U75" i="6" s="1"/>
  <c r="V75" i="6" s="1"/>
  <c r="C77" i="3" l="1"/>
  <c r="K34" i="3"/>
  <c r="Q76" i="6"/>
  <c r="R76" i="6"/>
  <c r="U76" i="6" s="1"/>
  <c r="V76" i="6" s="1"/>
  <c r="C78" i="3" l="1"/>
  <c r="Q77" i="6"/>
  <c r="R77" i="6"/>
  <c r="U77" i="6" s="1"/>
  <c r="V77" i="6" s="1"/>
  <c r="Q78" i="6" l="1"/>
  <c r="R78" i="6"/>
  <c r="U78" i="6" s="1"/>
  <c r="V78" i="6" s="1"/>
  <c r="C79" i="3"/>
  <c r="Q79" i="6" l="1"/>
  <c r="R79" i="6"/>
  <c r="U79" i="6" s="1"/>
  <c r="V79" i="6" s="1"/>
  <c r="C80" i="3"/>
  <c r="R80" i="6" l="1"/>
  <c r="U80" i="6" s="1"/>
  <c r="V80" i="6" s="1"/>
  <c r="Q80" i="6"/>
  <c r="C81" i="3"/>
  <c r="R81" i="6" l="1"/>
  <c r="U81" i="6" s="1"/>
  <c r="V81" i="6" s="1"/>
  <c r="Q81" i="6"/>
  <c r="C82" i="3"/>
  <c r="R82" i="6" l="1"/>
  <c r="U82" i="6" s="1"/>
  <c r="V82" i="6" s="1"/>
  <c r="Q82" i="6"/>
  <c r="C83" i="3"/>
  <c r="R83" i="6" l="1"/>
  <c r="U83" i="6" s="1"/>
  <c r="V83" i="6" s="1"/>
  <c r="Q83" i="6"/>
  <c r="C84" i="3"/>
  <c r="R84" i="6" l="1"/>
  <c r="U84" i="6" s="1"/>
  <c r="V84" i="6" s="1"/>
  <c r="Q84" i="6"/>
  <c r="C85" i="3"/>
  <c r="C86" i="3" l="1"/>
  <c r="R85" i="6"/>
  <c r="U85" i="6" s="1"/>
  <c r="V85" i="6" s="1"/>
  <c r="Q85" i="6"/>
  <c r="C87" i="3" l="1"/>
  <c r="R86" i="6"/>
  <c r="U86" i="6" s="1"/>
  <c r="V86" i="6" s="1"/>
  <c r="Q86" i="6"/>
  <c r="C88" i="3" l="1"/>
  <c r="R87" i="6"/>
  <c r="U87" i="6" s="1"/>
  <c r="V87" i="6" s="1"/>
  <c r="Q87" i="6"/>
  <c r="C89" i="3" l="1"/>
  <c r="R88" i="6"/>
  <c r="U88" i="6" s="1"/>
  <c r="V88" i="6" s="1"/>
  <c r="Q88" i="6"/>
  <c r="C90" i="3" l="1"/>
  <c r="R89" i="6"/>
  <c r="U89" i="6" s="1"/>
  <c r="V89" i="6" s="1"/>
  <c r="Q89" i="6"/>
  <c r="C91" i="3" l="1"/>
  <c r="R90" i="6"/>
  <c r="U90" i="6" s="1"/>
  <c r="V90" i="6" s="1"/>
  <c r="Q90" i="6"/>
  <c r="C92" i="3" l="1"/>
  <c r="R91" i="6"/>
  <c r="U91" i="6" s="1"/>
  <c r="V91" i="6" s="1"/>
  <c r="Q91" i="6"/>
  <c r="C93" i="3" l="1"/>
  <c r="R92" i="6"/>
  <c r="U92" i="6" s="1"/>
  <c r="V92" i="6" s="1"/>
  <c r="Q92" i="6"/>
  <c r="C94" i="3" l="1"/>
  <c r="R93" i="6"/>
  <c r="U93" i="6" s="1"/>
  <c r="V93" i="6" s="1"/>
  <c r="Q93" i="6"/>
  <c r="C95" i="3" l="1"/>
  <c r="R94" i="6"/>
  <c r="U94" i="6" s="1"/>
  <c r="V94" i="6" s="1"/>
  <c r="Q94" i="6"/>
  <c r="C96" i="3" l="1"/>
  <c r="R95" i="6"/>
  <c r="U95" i="6" s="1"/>
  <c r="V95" i="6" s="1"/>
  <c r="Q95" i="6"/>
  <c r="C97" i="3" l="1"/>
  <c r="R96" i="6"/>
  <c r="U96" i="6" s="1"/>
  <c r="V96" i="6" s="1"/>
  <c r="Q96" i="6"/>
  <c r="C98" i="3" l="1"/>
  <c r="R97" i="6"/>
  <c r="U97" i="6" s="1"/>
  <c r="V97" i="6" s="1"/>
  <c r="Q97" i="6"/>
  <c r="C99" i="3" l="1"/>
  <c r="R98" i="6"/>
  <c r="U98" i="6" s="1"/>
  <c r="V98" i="6" s="1"/>
  <c r="Q98" i="6"/>
  <c r="C100" i="3" l="1"/>
  <c r="R99" i="6"/>
  <c r="U99" i="6" s="1"/>
  <c r="V99" i="6" s="1"/>
  <c r="Q99" i="6"/>
  <c r="C101" i="3" l="1"/>
  <c r="R100" i="6"/>
  <c r="U100" i="6" s="1"/>
  <c r="V100" i="6" s="1"/>
  <c r="Q100" i="6"/>
  <c r="C102" i="3" l="1"/>
  <c r="R101" i="6"/>
  <c r="U101" i="6" s="1"/>
  <c r="V101" i="6" s="1"/>
  <c r="Q101" i="6"/>
  <c r="C103" i="3" l="1"/>
  <c r="R102" i="6"/>
  <c r="U102" i="6" s="1"/>
  <c r="V102" i="6" s="1"/>
  <c r="Q102" i="6"/>
  <c r="C104" i="3" l="1"/>
  <c r="R103" i="6"/>
  <c r="U103" i="6" s="1"/>
  <c r="V103" i="6" s="1"/>
  <c r="Q103" i="6"/>
  <c r="C105" i="3" l="1"/>
  <c r="R104" i="6"/>
  <c r="U104" i="6" s="1"/>
  <c r="V104" i="6" s="1"/>
  <c r="Q104" i="6"/>
  <c r="C106" i="3" l="1"/>
  <c r="R105" i="6"/>
  <c r="U105" i="6" s="1"/>
  <c r="V105" i="6" s="1"/>
  <c r="Q105" i="6"/>
  <c r="C107" i="3" l="1"/>
  <c r="R106" i="6"/>
  <c r="U106" i="6" s="1"/>
  <c r="V106" i="6" s="1"/>
  <c r="Q106" i="6"/>
  <c r="C108" i="3" l="1"/>
  <c r="R107" i="6"/>
  <c r="U107" i="6" s="1"/>
  <c r="V107" i="6" s="1"/>
  <c r="Q107" i="6"/>
  <c r="C109" i="3" l="1"/>
  <c r="R108" i="6"/>
  <c r="U108" i="6" s="1"/>
  <c r="V108" i="6" s="1"/>
  <c r="Q108" i="6"/>
  <c r="C110" i="3" l="1"/>
  <c r="R109" i="6"/>
  <c r="U109" i="6" s="1"/>
  <c r="V109" i="6" s="1"/>
  <c r="Q109" i="6"/>
  <c r="C111" i="3" l="1"/>
  <c r="R110" i="6"/>
  <c r="U110" i="6" s="1"/>
  <c r="V110" i="6" s="1"/>
  <c r="Q110" i="6"/>
  <c r="C112" i="3" l="1"/>
  <c r="R111" i="6"/>
  <c r="U111" i="6" s="1"/>
  <c r="V111" i="6" s="1"/>
  <c r="Q111" i="6"/>
  <c r="C113" i="3" l="1"/>
  <c r="R112" i="6"/>
  <c r="U112" i="6" s="1"/>
  <c r="V112" i="6" s="1"/>
  <c r="Q112" i="6"/>
  <c r="C114" i="3" l="1"/>
  <c r="R113" i="6"/>
  <c r="U113" i="6" s="1"/>
  <c r="V113" i="6" s="1"/>
  <c r="Q113" i="6"/>
  <c r="C115" i="3" l="1"/>
  <c r="R114" i="6"/>
  <c r="U114" i="6" s="1"/>
  <c r="V114" i="6" s="1"/>
  <c r="Q114" i="6"/>
  <c r="C116" i="3" l="1"/>
  <c r="R115" i="6"/>
  <c r="U115" i="6" s="1"/>
  <c r="V115" i="6" s="1"/>
  <c r="Q115" i="6"/>
  <c r="C117" i="3" l="1"/>
  <c r="R116" i="6"/>
  <c r="U116" i="6" s="1"/>
  <c r="V116" i="6" s="1"/>
  <c r="Q116" i="6"/>
  <c r="C118" i="3" l="1"/>
  <c r="R117" i="6"/>
  <c r="U117" i="6" s="1"/>
  <c r="V117" i="6" s="1"/>
  <c r="Q117" i="6"/>
  <c r="C119" i="3" l="1"/>
  <c r="R118" i="6"/>
  <c r="U118" i="6" s="1"/>
  <c r="V118" i="6" s="1"/>
  <c r="Q118" i="6"/>
  <c r="C120" i="3" l="1"/>
  <c r="R119" i="6"/>
  <c r="U119" i="6" s="1"/>
  <c r="V119" i="6" s="1"/>
  <c r="Q119" i="6"/>
  <c r="C121" i="3" l="1"/>
  <c r="R120" i="6"/>
  <c r="U120" i="6" s="1"/>
  <c r="V120" i="6" s="1"/>
  <c r="Q120" i="6"/>
  <c r="C122" i="3" l="1"/>
  <c r="R121" i="6"/>
  <c r="U121" i="6" s="1"/>
  <c r="V121" i="6" s="1"/>
  <c r="Q121" i="6"/>
  <c r="C123" i="3" l="1"/>
  <c r="R122" i="6"/>
  <c r="U122" i="6" s="1"/>
  <c r="V122" i="6" s="1"/>
  <c r="Q122" i="6"/>
  <c r="C124" i="3" l="1"/>
  <c r="R123" i="6"/>
  <c r="U123" i="6" s="1"/>
  <c r="V123" i="6" s="1"/>
  <c r="Q123" i="6"/>
  <c r="C125" i="3" l="1"/>
  <c r="R124" i="6"/>
  <c r="U124" i="6" s="1"/>
  <c r="V124" i="6" s="1"/>
  <c r="Q124" i="6"/>
  <c r="C126" i="3" l="1"/>
  <c r="R125" i="6"/>
  <c r="U125" i="6" s="1"/>
  <c r="V125" i="6" s="1"/>
  <c r="Q125" i="6"/>
  <c r="C127" i="3" l="1"/>
  <c r="R126" i="6"/>
  <c r="U126" i="6" s="1"/>
  <c r="V126" i="6" s="1"/>
  <c r="Q126" i="6"/>
  <c r="C128" i="3" l="1"/>
  <c r="R127" i="6"/>
  <c r="U127" i="6" s="1"/>
  <c r="V127" i="6" s="1"/>
  <c r="Q127" i="6"/>
  <c r="C129" i="3" l="1"/>
  <c r="R128" i="6"/>
  <c r="U128" i="6" s="1"/>
  <c r="V128" i="6" s="1"/>
  <c r="Q128" i="6"/>
  <c r="C130" i="3" l="1"/>
  <c r="R129" i="6"/>
  <c r="U129" i="6" s="1"/>
  <c r="V129" i="6" s="1"/>
  <c r="Q129" i="6"/>
  <c r="C131" i="3" l="1"/>
  <c r="R130" i="6"/>
  <c r="U130" i="6" s="1"/>
  <c r="V130" i="6" s="1"/>
  <c r="Q130" i="6"/>
  <c r="C132" i="3" l="1"/>
  <c r="R131" i="6"/>
  <c r="U131" i="6" s="1"/>
  <c r="V131" i="6" s="1"/>
  <c r="Q131" i="6"/>
  <c r="C133" i="3" l="1"/>
  <c r="R132" i="6"/>
  <c r="U132" i="6" s="1"/>
  <c r="V132" i="6" s="1"/>
  <c r="Q132" i="6"/>
  <c r="C134" i="3" l="1"/>
  <c r="R133" i="6"/>
  <c r="U133" i="6" s="1"/>
  <c r="V133" i="6" s="1"/>
  <c r="Q133" i="6"/>
  <c r="C135" i="3" l="1"/>
  <c r="R134" i="6"/>
  <c r="U134" i="6" s="1"/>
  <c r="V134" i="6" s="1"/>
  <c r="Q134" i="6"/>
  <c r="C136" i="3" l="1"/>
  <c r="D136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R135" i="6"/>
  <c r="U135" i="6" s="1"/>
  <c r="V135" i="6" s="1"/>
  <c r="Q135" i="6"/>
  <c r="G135" i="6"/>
  <c r="R136" i="6" l="1"/>
  <c r="U136" i="6" s="1"/>
  <c r="V136" i="6" s="1"/>
  <c r="P9" i="6" s="1"/>
  <c r="Q136" i="6"/>
  <c r="H30" i="3"/>
  <c r="E136" i="3" s="1"/>
  <c r="G136" i="6"/>
  <c r="H136" i="6" s="1"/>
  <c r="G18" i="6"/>
  <c r="H18" i="6" s="1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H133" i="6" l="1"/>
  <c r="H131" i="6"/>
  <c r="H129" i="6"/>
  <c r="H127" i="6"/>
  <c r="H125" i="6"/>
  <c r="H123" i="6"/>
  <c r="H121" i="6"/>
  <c r="H119" i="6"/>
  <c r="H117" i="6"/>
  <c r="H115" i="6"/>
  <c r="H113" i="6"/>
  <c r="H111" i="6"/>
  <c r="H109" i="6"/>
  <c r="H107" i="6"/>
  <c r="H105" i="6"/>
  <c r="H103" i="6"/>
  <c r="H101" i="6"/>
  <c r="H99" i="6"/>
  <c r="H97" i="6"/>
  <c r="H95" i="6"/>
  <c r="H93" i="6"/>
  <c r="H91" i="6"/>
  <c r="H89" i="6"/>
  <c r="H87" i="6"/>
  <c r="H85" i="6"/>
  <c r="H83" i="6"/>
  <c r="H81" i="6"/>
  <c r="H79" i="6"/>
  <c r="H77" i="6"/>
  <c r="H75" i="6"/>
  <c r="H73" i="6"/>
  <c r="H71" i="6"/>
  <c r="H69" i="6"/>
  <c r="H67" i="6"/>
  <c r="H65" i="6"/>
  <c r="H63" i="6"/>
  <c r="H61" i="6"/>
  <c r="H59" i="6"/>
  <c r="H57" i="6"/>
  <c r="H55" i="6"/>
  <c r="H53" i="6"/>
  <c r="H51" i="6"/>
  <c r="H49" i="6"/>
  <c r="H47" i="6"/>
  <c r="H45" i="6"/>
  <c r="H43" i="6"/>
  <c r="H41" i="6"/>
  <c r="H39" i="6"/>
  <c r="H37" i="6"/>
  <c r="H35" i="6"/>
  <c r="H33" i="6"/>
  <c r="H31" i="6"/>
  <c r="H29" i="6"/>
  <c r="H27" i="6"/>
  <c r="H25" i="6"/>
  <c r="H23" i="6"/>
  <c r="H21" i="6"/>
  <c r="H19" i="6"/>
  <c r="H134" i="6"/>
  <c r="H132" i="6"/>
  <c r="H130" i="6"/>
  <c r="H128" i="6"/>
  <c r="H126" i="6"/>
  <c r="H124" i="6"/>
  <c r="H122" i="6"/>
  <c r="H120" i="6"/>
  <c r="H118" i="6"/>
  <c r="H116" i="6"/>
  <c r="H114" i="6"/>
  <c r="H112" i="6"/>
  <c r="H110" i="6"/>
  <c r="H108" i="6"/>
  <c r="H106" i="6"/>
  <c r="H104" i="6"/>
  <c r="H102" i="6"/>
  <c r="H100" i="6"/>
  <c r="H98" i="6"/>
  <c r="H96" i="6"/>
  <c r="H94" i="6"/>
  <c r="H92" i="6"/>
  <c r="H90" i="6"/>
  <c r="H88" i="6"/>
  <c r="H86" i="6"/>
  <c r="H84" i="6"/>
  <c r="H82" i="6"/>
  <c r="H80" i="6"/>
  <c r="H78" i="6"/>
  <c r="H76" i="6"/>
  <c r="H74" i="6"/>
  <c r="H72" i="6"/>
  <c r="H70" i="6"/>
  <c r="H68" i="6"/>
  <c r="H66" i="6"/>
  <c r="H64" i="6"/>
  <c r="H62" i="6"/>
  <c r="H60" i="6"/>
  <c r="H58" i="6"/>
  <c r="H56" i="6"/>
  <c r="H54" i="6"/>
  <c r="H52" i="6"/>
  <c r="H50" i="6"/>
  <c r="H48" i="6"/>
  <c r="H46" i="6"/>
  <c r="H44" i="6"/>
  <c r="H42" i="6"/>
  <c r="H40" i="6"/>
  <c r="H38" i="6"/>
  <c r="H36" i="6"/>
  <c r="H34" i="6"/>
  <c r="H32" i="6"/>
  <c r="H30" i="6"/>
  <c r="H28" i="6"/>
  <c r="H26" i="6"/>
  <c r="H24" i="6"/>
  <c r="H22" i="6"/>
  <c r="H20" i="6"/>
  <c r="K30" i="3"/>
  <c r="M10" i="3" s="1"/>
  <c r="P10" i="6" s="1"/>
  <c r="K55" i="6" s="1"/>
  <c r="E18" i="3"/>
  <c r="F18" i="3" s="1"/>
  <c r="J18" i="6" s="1"/>
  <c r="J30" i="3"/>
  <c r="L30" i="3" s="1"/>
  <c r="M11" i="3" s="1"/>
  <c r="P11" i="6" s="1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F136" i="3" s="1"/>
  <c r="J136" i="6" s="1"/>
  <c r="AO27" i="6"/>
  <c r="AP27" i="6" s="1"/>
  <c r="C18" i="6"/>
  <c r="D18" i="6"/>
  <c r="D19" i="6"/>
  <c r="C19" i="6"/>
  <c r="C22" i="6"/>
  <c r="AO26" i="6"/>
  <c r="D22" i="6"/>
  <c r="D23" i="6"/>
  <c r="C23" i="6"/>
  <c r="C70" i="6"/>
  <c r="D70" i="6"/>
  <c r="C71" i="6"/>
  <c r="D71" i="6"/>
  <c r="C72" i="6"/>
  <c r="D72" i="6"/>
  <c r="C74" i="6"/>
  <c r="D74" i="6"/>
  <c r="C75" i="6"/>
  <c r="D75" i="6"/>
  <c r="C76" i="6"/>
  <c r="D76" i="6"/>
  <c r="C78" i="6"/>
  <c r="D78" i="6"/>
  <c r="C79" i="6"/>
  <c r="D79" i="6"/>
  <c r="C80" i="6"/>
  <c r="D80" i="6"/>
  <c r="D82" i="6"/>
  <c r="C82" i="6"/>
  <c r="D83" i="6"/>
  <c r="C83" i="6"/>
  <c r="D84" i="6"/>
  <c r="C84" i="6"/>
  <c r="D134" i="6"/>
  <c r="C134" i="6"/>
  <c r="H135" i="6"/>
  <c r="C64" i="6"/>
  <c r="D64" i="6"/>
  <c r="AO20" i="6"/>
  <c r="C65" i="6"/>
  <c r="D65" i="6"/>
  <c r="C66" i="6"/>
  <c r="D66" i="6"/>
  <c r="C67" i="6"/>
  <c r="D67" i="6"/>
  <c r="C68" i="6"/>
  <c r="D68" i="6"/>
  <c r="AO19" i="6"/>
  <c r="C69" i="6"/>
  <c r="D69" i="6"/>
  <c r="C73" i="6"/>
  <c r="D73" i="6"/>
  <c r="AO18" i="6"/>
  <c r="C77" i="6"/>
  <c r="D77" i="6"/>
  <c r="D81" i="6"/>
  <c r="AO17" i="6"/>
  <c r="AP17" i="6" s="1"/>
  <c r="C81" i="6"/>
  <c r="D85" i="6"/>
  <c r="C85" i="6"/>
  <c r="D86" i="6"/>
  <c r="C86" i="6"/>
  <c r="D87" i="6"/>
  <c r="C87" i="6"/>
  <c r="D88" i="6"/>
  <c r="C88" i="6"/>
  <c r="D89" i="6"/>
  <c r="C89" i="6"/>
  <c r="D90" i="6"/>
  <c r="C90" i="6"/>
  <c r="D91" i="6"/>
  <c r="AO16" i="6"/>
  <c r="C91" i="6"/>
  <c r="D92" i="6"/>
  <c r="C92" i="6"/>
  <c r="D93" i="6"/>
  <c r="C93" i="6"/>
  <c r="D94" i="6"/>
  <c r="C94" i="6"/>
  <c r="D95" i="6"/>
  <c r="AO15" i="6"/>
  <c r="C95" i="6"/>
  <c r="D96" i="6"/>
  <c r="C96" i="6"/>
  <c r="D97" i="6"/>
  <c r="C97" i="6"/>
  <c r="D99" i="6"/>
  <c r="AO14" i="6"/>
  <c r="C99" i="6"/>
  <c r="D100" i="6"/>
  <c r="C100" i="6"/>
  <c r="D101" i="6"/>
  <c r="C101" i="6"/>
  <c r="D102" i="6"/>
  <c r="C102" i="6"/>
  <c r="D103" i="6"/>
  <c r="C103" i="6"/>
  <c r="D104" i="6"/>
  <c r="C104" i="6"/>
  <c r="D105" i="6"/>
  <c r="C105" i="6"/>
  <c r="D106" i="6"/>
  <c r="C106" i="6"/>
  <c r="D107" i="6"/>
  <c r="AO13" i="6"/>
  <c r="C107" i="6"/>
  <c r="D108" i="6"/>
  <c r="C108" i="6"/>
  <c r="D109" i="6"/>
  <c r="C109" i="6"/>
  <c r="D110" i="6"/>
  <c r="C110" i="6"/>
  <c r="D111" i="6"/>
  <c r="C111" i="6"/>
  <c r="D112" i="6"/>
  <c r="C112" i="6"/>
  <c r="D113" i="6"/>
  <c r="C113" i="6"/>
  <c r="D114" i="6"/>
  <c r="C114" i="6"/>
  <c r="D115" i="6"/>
  <c r="C115" i="6"/>
  <c r="D116" i="6"/>
  <c r="C116" i="6"/>
  <c r="D117" i="6"/>
  <c r="C117" i="6"/>
  <c r="AO12" i="6"/>
  <c r="D118" i="6"/>
  <c r="C118" i="6"/>
  <c r="D119" i="6"/>
  <c r="C119" i="6"/>
  <c r="D120" i="6"/>
  <c r="AO11" i="6"/>
  <c r="C120" i="6"/>
  <c r="D121" i="6"/>
  <c r="C121" i="6"/>
  <c r="D122" i="6"/>
  <c r="C122" i="6"/>
  <c r="D123" i="6"/>
  <c r="C123" i="6"/>
  <c r="D124" i="6"/>
  <c r="C124" i="6"/>
  <c r="D125" i="6"/>
  <c r="C125" i="6"/>
  <c r="AO10" i="6"/>
  <c r="AP10" i="6" s="1"/>
  <c r="D126" i="6"/>
  <c r="C126" i="6"/>
  <c r="D127" i="6"/>
  <c r="C127" i="6"/>
  <c r="D128" i="6"/>
  <c r="C128" i="6"/>
  <c r="D129" i="6"/>
  <c r="C129" i="6"/>
  <c r="D130" i="6"/>
  <c r="C130" i="6"/>
  <c r="D131" i="6"/>
  <c r="C131" i="6"/>
  <c r="D132" i="6"/>
  <c r="C132" i="6"/>
  <c r="D133" i="6"/>
  <c r="C133" i="6"/>
  <c r="AO9" i="6"/>
  <c r="D135" i="6"/>
  <c r="C135" i="6"/>
  <c r="AO8" i="6"/>
  <c r="D136" i="6"/>
  <c r="C136" i="6"/>
  <c r="O4" i="5"/>
  <c r="O4" i="4"/>
  <c r="M9" i="3"/>
  <c r="K23" i="6"/>
  <c r="K19" i="6"/>
  <c r="K105" i="6"/>
  <c r="K43" i="6"/>
  <c r="K18" i="6"/>
  <c r="K135" i="6"/>
  <c r="K131" i="6"/>
  <c r="K127" i="6"/>
  <c r="K123" i="6"/>
  <c r="K119" i="6"/>
  <c r="K115" i="6"/>
  <c r="K111" i="6"/>
  <c r="K107" i="6"/>
  <c r="K101" i="6"/>
  <c r="K97" i="6"/>
  <c r="K93" i="6"/>
  <c r="K89" i="6"/>
  <c r="K85" i="6"/>
  <c r="K81" i="6"/>
  <c r="K77" i="6"/>
  <c r="K73" i="6"/>
  <c r="K69" i="6"/>
  <c r="K65" i="6"/>
  <c r="K59" i="6"/>
  <c r="K31" i="6"/>
  <c r="K53" i="6"/>
  <c r="K47" i="6"/>
  <c r="K41" i="6"/>
  <c r="K35" i="6"/>
  <c r="K25" i="6"/>
  <c r="K134" i="6"/>
  <c r="K130" i="6"/>
  <c r="K126" i="6"/>
  <c r="K122" i="6"/>
  <c r="K118" i="6"/>
  <c r="K114" i="6"/>
  <c r="K30" i="6"/>
  <c r="K26" i="6"/>
  <c r="K22" i="6"/>
  <c r="K112" i="6"/>
  <c r="K108" i="6"/>
  <c r="K104" i="6"/>
  <c r="K100" i="6"/>
  <c r="K96" i="6"/>
  <c r="K92" i="6"/>
  <c r="K88" i="6"/>
  <c r="K84" i="6"/>
  <c r="K80" i="6"/>
  <c r="K76" i="6"/>
  <c r="K72" i="6"/>
  <c r="K68" i="6"/>
  <c r="K64" i="6"/>
  <c r="K60" i="6"/>
  <c r="K56" i="6"/>
  <c r="K52" i="6"/>
  <c r="K48" i="6"/>
  <c r="K44" i="6"/>
  <c r="K40" i="6"/>
  <c r="K36" i="6"/>
  <c r="C20" i="6"/>
  <c r="D20" i="6"/>
  <c r="D21" i="6"/>
  <c r="C21" i="6"/>
  <c r="C24" i="6"/>
  <c r="D24" i="6"/>
  <c r="D25" i="6"/>
  <c r="C25" i="6"/>
  <c r="C26" i="6"/>
  <c r="D26" i="6"/>
  <c r="D27" i="6"/>
  <c r="C27" i="6"/>
  <c r="C28" i="6"/>
  <c r="D28" i="6"/>
  <c r="C29" i="6"/>
  <c r="AO25" i="6"/>
  <c r="D29" i="6"/>
  <c r="C30" i="6"/>
  <c r="D30" i="6"/>
  <c r="C31" i="6"/>
  <c r="D31" i="6"/>
  <c r="C32" i="6"/>
  <c r="D32" i="6"/>
  <c r="C33" i="6"/>
  <c r="D33" i="6"/>
  <c r="C34" i="6"/>
  <c r="D34" i="6"/>
  <c r="C35" i="6"/>
  <c r="D35" i="6"/>
  <c r="C36" i="6"/>
  <c r="D36" i="6"/>
  <c r="C37" i="6"/>
  <c r="D37" i="6"/>
  <c r="C38" i="6"/>
  <c r="D38" i="6"/>
  <c r="C39" i="6"/>
  <c r="D39" i="6"/>
  <c r="AO24" i="6"/>
  <c r="C40" i="6"/>
  <c r="D40" i="6"/>
  <c r="C41" i="6"/>
  <c r="D41" i="6"/>
  <c r="C42" i="6"/>
  <c r="AO23" i="6"/>
  <c r="D42" i="6"/>
  <c r="C43" i="6"/>
  <c r="D43" i="6"/>
  <c r="C44" i="6"/>
  <c r="D44" i="6"/>
  <c r="C45" i="6"/>
  <c r="D45" i="6"/>
  <c r="C46" i="6"/>
  <c r="D46" i="6"/>
  <c r="C47" i="6"/>
  <c r="D47" i="6"/>
  <c r="AO22" i="6"/>
  <c r="AP22" i="6" s="1"/>
  <c r="C48" i="6"/>
  <c r="D48" i="6"/>
  <c r="C49" i="6"/>
  <c r="D49" i="6"/>
  <c r="C50" i="6"/>
  <c r="D50" i="6"/>
  <c r="C51" i="6"/>
  <c r="D51" i="6"/>
  <c r="C52" i="6"/>
  <c r="D52" i="6"/>
  <c r="C53" i="6"/>
  <c r="D53" i="6"/>
  <c r="C54" i="6"/>
  <c r="D54" i="6"/>
  <c r="C55" i="6"/>
  <c r="D55" i="6"/>
  <c r="AO21" i="6"/>
  <c r="C56" i="6"/>
  <c r="D56" i="6"/>
  <c r="C57" i="6"/>
  <c r="D57" i="6"/>
  <c r="C58" i="6"/>
  <c r="D58" i="6"/>
  <c r="C59" i="6"/>
  <c r="D59" i="6"/>
  <c r="C60" i="6"/>
  <c r="D60" i="6"/>
  <c r="C61" i="6"/>
  <c r="D61" i="6"/>
  <c r="C62" i="6"/>
  <c r="D62" i="6"/>
  <c r="C63" i="6"/>
  <c r="D63" i="6"/>
  <c r="D98" i="6"/>
  <c r="C98" i="6"/>
  <c r="AP24" i="6" l="1"/>
  <c r="AP12" i="6"/>
  <c r="F19" i="3"/>
  <c r="J19" i="6" s="1"/>
  <c r="AP26" i="6"/>
  <c r="AP11" i="6"/>
  <c r="AP23" i="6"/>
  <c r="S98" i="6"/>
  <c r="W98" i="6" s="1"/>
  <c r="AP25" i="6"/>
  <c r="K34" i="6"/>
  <c r="K38" i="6"/>
  <c r="K42" i="6"/>
  <c r="K46" i="6"/>
  <c r="K50" i="6"/>
  <c r="K54" i="6"/>
  <c r="K58" i="6"/>
  <c r="K62" i="6"/>
  <c r="K66" i="6"/>
  <c r="K70" i="6"/>
  <c r="K74" i="6"/>
  <c r="K78" i="6"/>
  <c r="K82" i="6"/>
  <c r="K86" i="6"/>
  <c r="K90" i="6"/>
  <c r="K94" i="6"/>
  <c r="K98" i="6"/>
  <c r="K102" i="6"/>
  <c r="K106" i="6"/>
  <c r="K110" i="6"/>
  <c r="K20" i="6"/>
  <c r="K24" i="6"/>
  <c r="K28" i="6"/>
  <c r="K32" i="6"/>
  <c r="K116" i="6"/>
  <c r="K120" i="6"/>
  <c r="K124" i="6"/>
  <c r="K128" i="6"/>
  <c r="K132" i="6"/>
  <c r="K136" i="6"/>
  <c r="K33" i="6"/>
  <c r="K37" i="6"/>
  <c r="K45" i="6"/>
  <c r="K51" i="6"/>
  <c r="K63" i="6"/>
  <c r="K57" i="6"/>
  <c r="K61" i="6"/>
  <c r="K67" i="6"/>
  <c r="K71" i="6"/>
  <c r="K75" i="6"/>
  <c r="K79" i="6"/>
  <c r="K83" i="6"/>
  <c r="K87" i="6"/>
  <c r="K91" i="6"/>
  <c r="K95" i="6"/>
  <c r="K99" i="6"/>
  <c r="K103" i="6"/>
  <c r="K109" i="6"/>
  <c r="K113" i="6"/>
  <c r="K117" i="6"/>
  <c r="K121" i="6"/>
  <c r="K125" i="6"/>
  <c r="K129" i="6"/>
  <c r="K133" i="6"/>
  <c r="K21" i="6"/>
  <c r="K29" i="6"/>
  <c r="K49" i="6"/>
  <c r="K27" i="6"/>
  <c r="K39" i="6"/>
  <c r="AP13" i="6"/>
  <c r="AP15" i="6"/>
  <c r="AP18" i="6"/>
  <c r="F135" i="3"/>
  <c r="J135" i="6" s="1"/>
  <c r="F133" i="3"/>
  <c r="J133" i="6" s="1"/>
  <c r="F131" i="3"/>
  <c r="J131" i="6" s="1"/>
  <c r="F129" i="3"/>
  <c r="J129" i="6" s="1"/>
  <c r="F127" i="3"/>
  <c r="J127" i="6" s="1"/>
  <c r="F125" i="3"/>
  <c r="J125" i="6" s="1"/>
  <c r="F123" i="3"/>
  <c r="J123" i="6" s="1"/>
  <c r="F121" i="3"/>
  <c r="J121" i="6" s="1"/>
  <c r="F119" i="3"/>
  <c r="J119" i="6" s="1"/>
  <c r="F117" i="3"/>
  <c r="J117" i="6" s="1"/>
  <c r="F115" i="3"/>
  <c r="J115" i="6" s="1"/>
  <c r="F113" i="3"/>
  <c r="J113" i="6" s="1"/>
  <c r="F111" i="3"/>
  <c r="J111" i="6" s="1"/>
  <c r="F109" i="3"/>
  <c r="J109" i="6" s="1"/>
  <c r="F107" i="3"/>
  <c r="J107" i="6" s="1"/>
  <c r="F105" i="3"/>
  <c r="J105" i="6" s="1"/>
  <c r="F103" i="3"/>
  <c r="J103" i="6" s="1"/>
  <c r="F101" i="3"/>
  <c r="J101" i="6" s="1"/>
  <c r="F99" i="3"/>
  <c r="J99" i="6" s="1"/>
  <c r="F97" i="3"/>
  <c r="J97" i="6" s="1"/>
  <c r="F95" i="3"/>
  <c r="J95" i="6" s="1"/>
  <c r="F93" i="3"/>
  <c r="J93" i="6" s="1"/>
  <c r="F91" i="3"/>
  <c r="J91" i="6" s="1"/>
  <c r="F89" i="3"/>
  <c r="J89" i="6" s="1"/>
  <c r="F87" i="3"/>
  <c r="J87" i="6" s="1"/>
  <c r="F85" i="3"/>
  <c r="J85" i="6" s="1"/>
  <c r="F83" i="3"/>
  <c r="J83" i="6" s="1"/>
  <c r="F81" i="3"/>
  <c r="J81" i="6" s="1"/>
  <c r="F79" i="3"/>
  <c r="J79" i="6" s="1"/>
  <c r="F77" i="3"/>
  <c r="J77" i="6" s="1"/>
  <c r="F75" i="3"/>
  <c r="J75" i="6" s="1"/>
  <c r="F73" i="3"/>
  <c r="J73" i="6" s="1"/>
  <c r="F71" i="3"/>
  <c r="J71" i="6" s="1"/>
  <c r="F69" i="3"/>
  <c r="J69" i="6" s="1"/>
  <c r="F67" i="3"/>
  <c r="J67" i="6" s="1"/>
  <c r="F65" i="3"/>
  <c r="J65" i="6" s="1"/>
  <c r="F63" i="3"/>
  <c r="J63" i="6" s="1"/>
  <c r="F61" i="3"/>
  <c r="J61" i="6" s="1"/>
  <c r="F59" i="3"/>
  <c r="J59" i="6" s="1"/>
  <c r="F57" i="3"/>
  <c r="J57" i="6" s="1"/>
  <c r="F55" i="3"/>
  <c r="J55" i="6" s="1"/>
  <c r="F53" i="3"/>
  <c r="J53" i="6" s="1"/>
  <c r="F51" i="3"/>
  <c r="J51" i="6" s="1"/>
  <c r="F49" i="3"/>
  <c r="J49" i="6" s="1"/>
  <c r="F47" i="3"/>
  <c r="J47" i="6" s="1"/>
  <c r="F45" i="3"/>
  <c r="J45" i="6" s="1"/>
  <c r="F43" i="3"/>
  <c r="J43" i="6" s="1"/>
  <c r="F41" i="3"/>
  <c r="J41" i="6" s="1"/>
  <c r="F39" i="3"/>
  <c r="J39" i="6" s="1"/>
  <c r="F37" i="3"/>
  <c r="J37" i="6" s="1"/>
  <c r="F35" i="3"/>
  <c r="J35" i="6" s="1"/>
  <c r="F33" i="3"/>
  <c r="J33" i="6" s="1"/>
  <c r="F31" i="3"/>
  <c r="J31" i="6" s="1"/>
  <c r="F29" i="3"/>
  <c r="J29" i="6" s="1"/>
  <c r="F27" i="3"/>
  <c r="J27" i="6" s="1"/>
  <c r="F25" i="3"/>
  <c r="J25" i="6" s="1"/>
  <c r="F23" i="3"/>
  <c r="J23" i="6" s="1"/>
  <c r="F21" i="3"/>
  <c r="J21" i="6" s="1"/>
  <c r="S55" i="6"/>
  <c r="W55" i="6" s="1"/>
  <c r="S54" i="6"/>
  <c r="W54" i="6" s="1"/>
  <c r="S53" i="6"/>
  <c r="W53" i="6" s="1"/>
  <c r="S52" i="6"/>
  <c r="W52" i="6" s="1"/>
  <c r="S51" i="6"/>
  <c r="W51" i="6" s="1"/>
  <c r="S50" i="6"/>
  <c r="W50" i="6" s="1"/>
  <c r="S49" i="6"/>
  <c r="W49" i="6" s="1"/>
  <c r="S48" i="6"/>
  <c r="W48" i="6" s="1"/>
  <c r="S41" i="6"/>
  <c r="W41" i="6" s="1"/>
  <c r="S40" i="6"/>
  <c r="W40" i="6" s="1"/>
  <c r="S28" i="6"/>
  <c r="W28" i="6" s="1"/>
  <c r="S26" i="6"/>
  <c r="W26" i="6" s="1"/>
  <c r="S24" i="6"/>
  <c r="W24" i="6" s="1"/>
  <c r="S20" i="6"/>
  <c r="W20" i="6" s="1"/>
  <c r="AP8" i="6"/>
  <c r="AP7" i="6"/>
  <c r="S135" i="6"/>
  <c r="W135" i="6" s="1"/>
  <c r="S125" i="6"/>
  <c r="W125" i="6" s="1"/>
  <c r="S124" i="6"/>
  <c r="W124" i="6" s="1"/>
  <c r="S123" i="6"/>
  <c r="W123" i="6" s="1"/>
  <c r="S122" i="6"/>
  <c r="W122" i="6" s="1"/>
  <c r="S121" i="6"/>
  <c r="W121" i="6" s="1"/>
  <c r="S117" i="6"/>
  <c r="W117" i="6" s="1"/>
  <c r="S116" i="6"/>
  <c r="W116" i="6" s="1"/>
  <c r="S115" i="6"/>
  <c r="W115" i="6" s="1"/>
  <c r="S114" i="6"/>
  <c r="W114" i="6" s="1"/>
  <c r="S113" i="6"/>
  <c r="W113" i="6" s="1"/>
  <c r="S112" i="6"/>
  <c r="W112" i="6" s="1"/>
  <c r="S111" i="6"/>
  <c r="W111" i="6" s="1"/>
  <c r="S110" i="6"/>
  <c r="W110" i="6" s="1"/>
  <c r="S109" i="6"/>
  <c r="W109" i="6" s="1"/>
  <c r="S108" i="6"/>
  <c r="W108" i="6" s="1"/>
  <c r="S99" i="6"/>
  <c r="W99" i="6" s="1"/>
  <c r="S97" i="6"/>
  <c r="W97" i="6" s="1"/>
  <c r="S96" i="6"/>
  <c r="W96" i="6" s="1"/>
  <c r="S91" i="6"/>
  <c r="W91" i="6" s="1"/>
  <c r="S90" i="6"/>
  <c r="W90" i="6" s="1"/>
  <c r="S89" i="6"/>
  <c r="W89" i="6" s="1"/>
  <c r="S88" i="6"/>
  <c r="W88" i="6" s="1"/>
  <c r="S87" i="6"/>
  <c r="W87" i="6" s="1"/>
  <c r="S86" i="6"/>
  <c r="W86" i="6" s="1"/>
  <c r="S85" i="6"/>
  <c r="W85" i="6" s="1"/>
  <c r="S77" i="6"/>
  <c r="W77" i="6" s="1"/>
  <c r="S68" i="6"/>
  <c r="W68" i="6" s="1"/>
  <c r="S67" i="6"/>
  <c r="W67" i="6" s="1"/>
  <c r="S66" i="6"/>
  <c r="W66" i="6" s="1"/>
  <c r="S65" i="6"/>
  <c r="W65" i="6" s="1"/>
  <c r="AP20" i="6"/>
  <c r="S80" i="6"/>
  <c r="W80" i="6" s="1"/>
  <c r="S79" i="6"/>
  <c r="W79" i="6" s="1"/>
  <c r="S78" i="6"/>
  <c r="W78" i="6" s="1"/>
  <c r="S76" i="6"/>
  <c r="W76" i="6" s="1"/>
  <c r="S75" i="6"/>
  <c r="W75" i="6" s="1"/>
  <c r="S74" i="6"/>
  <c r="W74" i="6" s="1"/>
  <c r="S72" i="6"/>
  <c r="W72" i="6" s="1"/>
  <c r="S71" i="6"/>
  <c r="W71" i="6" s="1"/>
  <c r="S70" i="6"/>
  <c r="W70" i="6" s="1"/>
  <c r="S22" i="6"/>
  <c r="W22" i="6" s="1"/>
  <c r="S19" i="6"/>
  <c r="W19" i="6" s="1"/>
  <c r="S63" i="6"/>
  <c r="W63" i="6" s="1"/>
  <c r="S62" i="6"/>
  <c r="W62" i="6" s="1"/>
  <c r="S61" i="6"/>
  <c r="W61" i="6" s="1"/>
  <c r="S60" i="6"/>
  <c r="W60" i="6" s="1"/>
  <c r="S59" i="6"/>
  <c r="W59" i="6" s="1"/>
  <c r="S58" i="6"/>
  <c r="W58" i="6" s="1"/>
  <c r="S57" i="6"/>
  <c r="W57" i="6" s="1"/>
  <c r="S56" i="6"/>
  <c r="W56" i="6" s="1"/>
  <c r="AP21" i="6"/>
  <c r="S47" i="6"/>
  <c r="W47" i="6" s="1"/>
  <c r="S46" i="6"/>
  <c r="W46" i="6" s="1"/>
  <c r="S45" i="6"/>
  <c r="W45" i="6" s="1"/>
  <c r="S44" i="6"/>
  <c r="W44" i="6" s="1"/>
  <c r="S43" i="6"/>
  <c r="W43" i="6" s="1"/>
  <c r="S42" i="6"/>
  <c r="W42" i="6" s="1"/>
  <c r="S39" i="6"/>
  <c r="W39" i="6" s="1"/>
  <c r="S38" i="6"/>
  <c r="W38" i="6" s="1"/>
  <c r="S37" i="6"/>
  <c r="W37" i="6" s="1"/>
  <c r="S36" i="6"/>
  <c r="W36" i="6" s="1"/>
  <c r="S35" i="6"/>
  <c r="W35" i="6" s="1"/>
  <c r="S34" i="6"/>
  <c r="W34" i="6" s="1"/>
  <c r="S33" i="6"/>
  <c r="W33" i="6" s="1"/>
  <c r="S32" i="6"/>
  <c r="W32" i="6" s="1"/>
  <c r="S31" i="6"/>
  <c r="W31" i="6" s="1"/>
  <c r="S30" i="6"/>
  <c r="W30" i="6" s="1"/>
  <c r="S29" i="6"/>
  <c r="W29" i="6" s="1"/>
  <c r="S27" i="6"/>
  <c r="W27" i="6" s="1"/>
  <c r="S25" i="6"/>
  <c r="W25" i="6" s="1"/>
  <c r="S21" i="6"/>
  <c r="W21" i="6" s="1"/>
  <c r="S136" i="6"/>
  <c r="W136" i="6" s="1"/>
  <c r="AP9" i="6"/>
  <c r="S133" i="6"/>
  <c r="W133" i="6" s="1"/>
  <c r="S132" i="6"/>
  <c r="W132" i="6" s="1"/>
  <c r="S131" i="6"/>
  <c r="W131" i="6" s="1"/>
  <c r="S130" i="6"/>
  <c r="W130" i="6" s="1"/>
  <c r="S129" i="6"/>
  <c r="W129" i="6" s="1"/>
  <c r="S128" i="6"/>
  <c r="W128" i="6" s="1"/>
  <c r="S127" i="6"/>
  <c r="W127" i="6" s="1"/>
  <c r="S126" i="6"/>
  <c r="W126" i="6" s="1"/>
  <c r="S120" i="6"/>
  <c r="W120" i="6" s="1"/>
  <c r="S119" i="6"/>
  <c r="W119" i="6" s="1"/>
  <c r="S118" i="6"/>
  <c r="W118" i="6" s="1"/>
  <c r="S107" i="6"/>
  <c r="W107" i="6" s="1"/>
  <c r="S106" i="6"/>
  <c r="W106" i="6" s="1"/>
  <c r="S105" i="6"/>
  <c r="W105" i="6" s="1"/>
  <c r="S104" i="6"/>
  <c r="W104" i="6" s="1"/>
  <c r="S103" i="6"/>
  <c r="W103" i="6" s="1"/>
  <c r="S102" i="6"/>
  <c r="W102" i="6" s="1"/>
  <c r="S101" i="6"/>
  <c r="W101" i="6" s="1"/>
  <c r="S100" i="6"/>
  <c r="W100" i="6" s="1"/>
  <c r="AP14" i="6"/>
  <c r="S95" i="6"/>
  <c r="W95" i="6" s="1"/>
  <c r="S94" i="6"/>
  <c r="W94" i="6" s="1"/>
  <c r="S93" i="6"/>
  <c r="W93" i="6" s="1"/>
  <c r="S92" i="6"/>
  <c r="W92" i="6" s="1"/>
  <c r="AP16" i="6"/>
  <c r="AC17" i="6"/>
  <c r="S81" i="6"/>
  <c r="W81" i="6" s="1"/>
  <c r="S73" i="6"/>
  <c r="W73" i="6" s="1"/>
  <c r="S69" i="6"/>
  <c r="W69" i="6" s="1"/>
  <c r="AP19" i="6"/>
  <c r="S64" i="6"/>
  <c r="W64" i="6" s="1"/>
  <c r="S134" i="6"/>
  <c r="W134" i="6" s="1"/>
  <c r="S84" i="6"/>
  <c r="W84" i="6" s="1"/>
  <c r="S83" i="6"/>
  <c r="W83" i="6" s="1"/>
  <c r="S82" i="6"/>
  <c r="W82" i="6" s="1"/>
  <c r="S23" i="6"/>
  <c r="W23" i="6" s="1"/>
  <c r="S18" i="6"/>
  <c r="W18" i="6" s="1"/>
  <c r="X18" i="6" s="1"/>
  <c r="F134" i="3"/>
  <c r="J134" i="6" s="1"/>
  <c r="F132" i="3"/>
  <c r="J132" i="6" s="1"/>
  <c r="F130" i="3"/>
  <c r="J130" i="6" s="1"/>
  <c r="F128" i="3"/>
  <c r="J128" i="6" s="1"/>
  <c r="F126" i="3"/>
  <c r="J126" i="6" s="1"/>
  <c r="F124" i="3"/>
  <c r="J124" i="6" s="1"/>
  <c r="F122" i="3"/>
  <c r="J122" i="6" s="1"/>
  <c r="F120" i="3"/>
  <c r="J120" i="6" s="1"/>
  <c r="F118" i="3"/>
  <c r="J118" i="6" s="1"/>
  <c r="F116" i="3"/>
  <c r="J116" i="6" s="1"/>
  <c r="F114" i="3"/>
  <c r="J114" i="6" s="1"/>
  <c r="F112" i="3"/>
  <c r="J112" i="6" s="1"/>
  <c r="F110" i="3"/>
  <c r="J110" i="6" s="1"/>
  <c r="F108" i="3"/>
  <c r="J108" i="6" s="1"/>
  <c r="F106" i="3"/>
  <c r="J106" i="6" s="1"/>
  <c r="F104" i="3"/>
  <c r="J104" i="6" s="1"/>
  <c r="F102" i="3"/>
  <c r="J102" i="6" s="1"/>
  <c r="F100" i="3"/>
  <c r="J100" i="6" s="1"/>
  <c r="F98" i="3"/>
  <c r="J98" i="6" s="1"/>
  <c r="F96" i="3"/>
  <c r="J96" i="6" s="1"/>
  <c r="F94" i="3"/>
  <c r="J94" i="6" s="1"/>
  <c r="F92" i="3"/>
  <c r="J92" i="6" s="1"/>
  <c r="F90" i="3"/>
  <c r="J90" i="6" s="1"/>
  <c r="F88" i="3"/>
  <c r="J88" i="6" s="1"/>
  <c r="F86" i="3"/>
  <c r="J86" i="6" s="1"/>
  <c r="F84" i="3"/>
  <c r="J84" i="6" s="1"/>
  <c r="F82" i="3"/>
  <c r="J82" i="6" s="1"/>
  <c r="F80" i="3"/>
  <c r="J80" i="6" s="1"/>
  <c r="F78" i="3"/>
  <c r="J78" i="6" s="1"/>
  <c r="F76" i="3"/>
  <c r="J76" i="6" s="1"/>
  <c r="F74" i="3"/>
  <c r="J74" i="6" s="1"/>
  <c r="F72" i="3"/>
  <c r="J72" i="6" s="1"/>
  <c r="F70" i="3"/>
  <c r="J70" i="6" s="1"/>
  <c r="F68" i="3"/>
  <c r="J68" i="6" s="1"/>
  <c r="F66" i="3"/>
  <c r="J66" i="6" s="1"/>
  <c r="F64" i="3"/>
  <c r="J64" i="6" s="1"/>
  <c r="F62" i="3"/>
  <c r="J62" i="6" s="1"/>
  <c r="F60" i="3"/>
  <c r="J60" i="6" s="1"/>
  <c r="F58" i="3"/>
  <c r="J58" i="6" s="1"/>
  <c r="F56" i="3"/>
  <c r="J56" i="6" s="1"/>
  <c r="F54" i="3"/>
  <c r="J54" i="6" s="1"/>
  <c r="F52" i="3"/>
  <c r="J52" i="6" s="1"/>
  <c r="F50" i="3"/>
  <c r="J50" i="6" s="1"/>
  <c r="F48" i="3"/>
  <c r="J48" i="6" s="1"/>
  <c r="F46" i="3"/>
  <c r="J46" i="6" s="1"/>
  <c r="F44" i="3"/>
  <c r="J44" i="6" s="1"/>
  <c r="F42" i="3"/>
  <c r="J42" i="6" s="1"/>
  <c r="F40" i="3"/>
  <c r="J40" i="6" s="1"/>
  <c r="F38" i="3"/>
  <c r="J38" i="6" s="1"/>
  <c r="F36" i="3"/>
  <c r="J36" i="6" s="1"/>
  <c r="F34" i="3"/>
  <c r="J34" i="6" s="1"/>
  <c r="F32" i="3"/>
  <c r="J32" i="6" s="1"/>
  <c r="F30" i="3"/>
  <c r="J30" i="6" s="1"/>
  <c r="F28" i="3"/>
  <c r="J28" i="6" s="1"/>
  <c r="F26" i="3"/>
  <c r="J26" i="6" s="1"/>
  <c r="F24" i="3"/>
  <c r="J24" i="6" s="1"/>
  <c r="F22" i="3"/>
  <c r="J22" i="6" s="1"/>
  <c r="F20" i="3"/>
  <c r="J20" i="6" s="1"/>
  <c r="O6" i="5"/>
  <c r="O6" i="4"/>
  <c r="O5" i="5"/>
  <c r="O5" i="4"/>
  <c r="X19" i="6" l="1"/>
  <c r="X20" i="6" s="1"/>
  <c r="X21" i="6" l="1"/>
  <c r="X22" i="6" l="1"/>
  <c r="X23" i="6" l="1"/>
  <c r="X24" i="6" l="1"/>
  <c r="X25" i="6" l="1"/>
  <c r="X26" i="6" l="1"/>
  <c r="X27" i="6" l="1"/>
  <c r="X28" i="6" l="1"/>
  <c r="X29" i="6" l="1"/>
  <c r="X30" i="6" l="1"/>
  <c r="X31" i="6" l="1"/>
  <c r="X32" i="6" l="1"/>
  <c r="X33" i="6" l="1"/>
  <c r="X34" i="6" l="1"/>
  <c r="X35" i="6" l="1"/>
  <c r="X36" i="6" l="1"/>
  <c r="X37" i="6" l="1"/>
  <c r="X38" i="6" l="1"/>
  <c r="X39" i="6" l="1"/>
  <c r="X40" i="6" l="1"/>
  <c r="X41" i="6" l="1"/>
  <c r="X42" i="6" l="1"/>
  <c r="X43" i="6" l="1"/>
  <c r="X44" i="6" l="1"/>
  <c r="X45" i="6" l="1"/>
  <c r="X46" i="6" l="1"/>
  <c r="X47" i="6" l="1"/>
  <c r="X48" i="6" l="1"/>
  <c r="X49" i="6" l="1"/>
  <c r="X50" i="6" l="1"/>
  <c r="X51" i="6" l="1"/>
  <c r="X52" i="6" l="1"/>
  <c r="X53" i="6" l="1"/>
  <c r="X54" i="6" l="1"/>
  <c r="X55" i="6" l="1"/>
  <c r="X56" i="6" l="1"/>
  <c r="X57" i="6" l="1"/>
  <c r="X58" i="6" l="1"/>
  <c r="X59" i="6" l="1"/>
  <c r="X60" i="6" l="1"/>
  <c r="X61" i="6" l="1"/>
  <c r="X62" i="6" l="1"/>
  <c r="X63" i="6" l="1"/>
  <c r="X64" i="6" l="1"/>
  <c r="X65" i="6" l="1"/>
  <c r="X66" i="6" l="1"/>
  <c r="X67" i="6" l="1"/>
  <c r="X68" i="6" l="1"/>
  <c r="X69" i="6" l="1"/>
  <c r="X70" i="6" l="1"/>
  <c r="X71" i="6" l="1"/>
  <c r="X72" i="6" l="1"/>
  <c r="X73" i="6" l="1"/>
  <c r="X74" i="6" l="1"/>
  <c r="X75" i="6" l="1"/>
  <c r="X76" i="6" l="1"/>
  <c r="X77" i="6" l="1"/>
  <c r="X78" i="6" l="1"/>
  <c r="X79" i="6" l="1"/>
  <c r="X80" i="6" l="1"/>
  <c r="X81" i="6" l="1"/>
  <c r="X82" i="6" l="1"/>
  <c r="X83" i="6" l="1"/>
  <c r="X84" i="6" l="1"/>
  <c r="X85" i="6" l="1"/>
  <c r="X86" i="6" l="1"/>
  <c r="X87" i="6" l="1"/>
  <c r="X88" i="6" l="1"/>
  <c r="X89" i="6" l="1"/>
  <c r="X90" i="6" l="1"/>
  <c r="X91" i="6" l="1"/>
  <c r="X92" i="6" l="1"/>
  <c r="X93" i="6" l="1"/>
  <c r="X94" i="6" l="1"/>
  <c r="X95" i="6" l="1"/>
  <c r="X96" i="6" l="1"/>
  <c r="X97" i="6" l="1"/>
  <c r="X98" i="6" l="1"/>
  <c r="X99" i="6" l="1"/>
  <c r="X100" i="6" l="1"/>
  <c r="X101" i="6" l="1"/>
  <c r="X102" i="6" l="1"/>
  <c r="X103" i="6" l="1"/>
  <c r="X104" i="6" l="1"/>
  <c r="X105" i="6" l="1"/>
  <c r="X106" i="6" l="1"/>
  <c r="X107" i="6" l="1"/>
  <c r="X108" i="6" l="1"/>
  <c r="X109" i="6" l="1"/>
  <c r="X110" i="6" l="1"/>
  <c r="X111" i="6" l="1"/>
  <c r="X112" i="6" l="1"/>
  <c r="X113" i="6" l="1"/>
  <c r="X114" i="6" l="1"/>
  <c r="X115" i="6" l="1"/>
  <c r="X116" i="6" l="1"/>
  <c r="X117" i="6" l="1"/>
  <c r="X118" i="6" l="1"/>
  <c r="X119" i="6" l="1"/>
  <c r="X120" i="6" l="1"/>
  <c r="X121" i="6" l="1"/>
  <c r="X122" i="6" l="1"/>
  <c r="X123" i="6" l="1"/>
  <c r="X124" i="6" l="1"/>
  <c r="X125" i="6" l="1"/>
  <c r="X126" i="6" l="1"/>
  <c r="X127" i="6" l="1"/>
  <c r="X128" i="6" l="1"/>
  <c r="X129" i="6" l="1"/>
  <c r="X130" i="6" l="1"/>
  <c r="X131" i="6" l="1"/>
  <c r="X132" i="6" l="1"/>
  <c r="X133" i="6" l="1"/>
  <c r="X134" i="6" l="1"/>
  <c r="X135" i="6" l="1"/>
  <c r="X136" i="6" l="1"/>
  <c r="T136" i="6" l="1"/>
  <c r="T18" i="6"/>
  <c r="T20" i="6"/>
  <c r="T19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8" i="6"/>
  <c r="T39" i="6"/>
  <c r="T40" i="6"/>
  <c r="T41" i="6"/>
  <c r="T42" i="6"/>
  <c r="T43" i="6"/>
  <c r="T44" i="6"/>
  <c r="T45" i="6"/>
  <c r="T46" i="6"/>
  <c r="T47" i="6"/>
  <c r="T48" i="6"/>
  <c r="T49" i="6"/>
  <c r="T50" i="6"/>
  <c r="T51" i="6"/>
  <c r="T52" i="6"/>
  <c r="T53" i="6"/>
  <c r="T54" i="6"/>
  <c r="T55" i="6"/>
  <c r="T56" i="6"/>
  <c r="T57" i="6"/>
  <c r="T58" i="6"/>
  <c r="T59" i="6"/>
  <c r="T60" i="6"/>
  <c r="T61" i="6"/>
  <c r="T62" i="6"/>
  <c r="T63" i="6"/>
  <c r="T64" i="6"/>
  <c r="T65" i="6"/>
  <c r="T66" i="6"/>
  <c r="T67" i="6"/>
  <c r="T68" i="6"/>
  <c r="T69" i="6"/>
  <c r="T70" i="6"/>
  <c r="T71" i="6"/>
  <c r="T72" i="6"/>
  <c r="T73" i="6"/>
  <c r="T74" i="6"/>
  <c r="T75" i="6"/>
  <c r="T76" i="6"/>
  <c r="T77" i="6"/>
  <c r="T78" i="6"/>
  <c r="T79" i="6"/>
  <c r="T80" i="6"/>
  <c r="T81" i="6"/>
  <c r="T82" i="6"/>
  <c r="T83" i="6"/>
  <c r="T84" i="6"/>
  <c r="T85" i="6"/>
  <c r="T86" i="6"/>
  <c r="T87" i="6"/>
  <c r="T88" i="6"/>
  <c r="T89" i="6"/>
  <c r="T90" i="6"/>
  <c r="T91" i="6"/>
  <c r="T92" i="6"/>
  <c r="T93" i="6"/>
  <c r="T94" i="6"/>
  <c r="T95" i="6"/>
  <c r="T96" i="6"/>
  <c r="T97" i="6"/>
  <c r="T98" i="6"/>
  <c r="T99" i="6"/>
  <c r="T100" i="6"/>
  <c r="T101" i="6"/>
  <c r="T102" i="6"/>
  <c r="T103" i="6"/>
  <c r="T104" i="6"/>
  <c r="T105" i="6"/>
  <c r="T106" i="6"/>
  <c r="T107" i="6"/>
  <c r="T108" i="6"/>
  <c r="T109" i="6"/>
  <c r="T110" i="6"/>
  <c r="T111" i="6"/>
  <c r="T112" i="6"/>
  <c r="T113" i="6"/>
  <c r="T114" i="6"/>
  <c r="T115" i="6"/>
  <c r="T116" i="6"/>
  <c r="T117" i="6"/>
  <c r="T118" i="6"/>
  <c r="T119" i="6"/>
  <c r="T120" i="6"/>
  <c r="T121" i="6"/>
  <c r="T122" i="6"/>
  <c r="T123" i="6"/>
  <c r="T124" i="6"/>
  <c r="T125" i="6"/>
  <c r="T126" i="6"/>
  <c r="T127" i="6"/>
  <c r="T128" i="6"/>
  <c r="T129" i="6"/>
  <c r="T130" i="6"/>
  <c r="T131" i="6"/>
  <c r="T132" i="6"/>
  <c r="T133" i="6"/>
  <c r="T134" i="6"/>
  <c r="T135" i="6"/>
  <c r="K3" i="4" l="1"/>
  <c r="I8" i="3"/>
  <c r="K3" i="5"/>
</calcChain>
</file>

<file path=xl/sharedStrings.xml><?xml version="1.0" encoding="utf-8"?>
<sst xmlns="http://schemas.openxmlformats.org/spreadsheetml/2006/main" count="170" uniqueCount="97">
  <si>
    <t>air/oil</t>
  </si>
  <si>
    <t>Above Free Water, ft</t>
  </si>
  <si>
    <t>Bulk</t>
  </si>
  <si>
    <t>Volume,</t>
  </si>
  <si>
    <t>Gas-Oil,</t>
  </si>
  <si>
    <t>Saturation,</t>
  </si>
  <si>
    <t>Inc. (mD)</t>
  </si>
  <si>
    <t>Cumulative</t>
  </si>
  <si>
    <t>Hg Sat</t>
  </si>
  <si>
    <t>Weight,</t>
  </si>
  <si>
    <t>Laboratory TcosTheta</t>
  </si>
  <si>
    <t>MERCURY INJECTION CAPILLARY PRESSURE</t>
  </si>
  <si>
    <t>Gas:</t>
  </si>
  <si>
    <t>cumulative</t>
  </si>
  <si>
    <t>Oil:</t>
  </si>
  <si>
    <t>Sample</t>
  </si>
  <si>
    <t>incremental</t>
  </si>
  <si>
    <t>Estimated Height</t>
  </si>
  <si>
    <t>grams</t>
  </si>
  <si>
    <t>Helium</t>
  </si>
  <si>
    <t>Funct.</t>
  </si>
  <si>
    <t>%BV</t>
  </si>
  <si>
    <t>Mercury IFT</t>
  </si>
  <si>
    <t>Grain Density, grams/cc:</t>
  </si>
  <si>
    <t>Reservoir Contact Angle</t>
  </si>
  <si>
    <t>fraction</t>
  </si>
  <si>
    <t>grams/cc</t>
  </si>
  <si>
    <t>Sb/Pc</t>
  </si>
  <si>
    <t>oil/water</t>
  </si>
  <si>
    <t>Laboratory IFT</t>
  </si>
  <si>
    <t>PSD HISTOGRAM</t>
  </si>
  <si>
    <t>6</t>
  </si>
  <si>
    <t>Laboratory Contact Angle</t>
  </si>
  <si>
    <t>intrusion</t>
  </si>
  <si>
    <t>Saturation</t>
  </si>
  <si>
    <t>O-W</t>
  </si>
  <si>
    <t>cc</t>
  </si>
  <si>
    <t>Conformance Correction,</t>
  </si>
  <si>
    <t>Norm. Pore</t>
  </si>
  <si>
    <t xml:space="preserve"> </t>
  </si>
  <si>
    <t>Density,</t>
  </si>
  <si>
    <t>Sample Number:</t>
  </si>
  <si>
    <t>Oil-Water,</t>
  </si>
  <si>
    <t>Contribution</t>
  </si>
  <si>
    <t>Size Dist.</t>
  </si>
  <si>
    <t>Pore Throat</t>
  </si>
  <si>
    <t xml:space="preserve"> 1.0-Mercury </t>
  </si>
  <si>
    <t>Radius, µm</t>
  </si>
  <si>
    <t>Fluid Density Gradients</t>
  </si>
  <si>
    <t>psia</t>
  </si>
  <si>
    <t xml:space="preserve">Mercury </t>
  </si>
  <si>
    <t>Conversion Parameters</t>
  </si>
  <si>
    <t>air/water</t>
  </si>
  <si>
    <t>Porosity, fraction:</t>
  </si>
  <si>
    <t>Diameter,</t>
  </si>
  <si>
    <t>microns</t>
  </si>
  <si>
    <t>frequency</t>
  </si>
  <si>
    <t>Corrected</t>
  </si>
  <si>
    <t>Uncorrected</t>
  </si>
  <si>
    <t>Normalized</t>
  </si>
  <si>
    <t>%PV</t>
  </si>
  <si>
    <t>Reservoir TcosTheta</t>
  </si>
  <si>
    <t>Porosity,</t>
  </si>
  <si>
    <t>Mercury</t>
  </si>
  <si>
    <t>micron</t>
  </si>
  <si>
    <t>Injection Pressure,</t>
  </si>
  <si>
    <t>G-W</t>
  </si>
  <si>
    <t>air/Hg</t>
  </si>
  <si>
    <t>d Log</t>
  </si>
  <si>
    <t>Function</t>
  </si>
  <si>
    <t>Mercury Saturation</t>
  </si>
  <si>
    <t>ml</t>
  </si>
  <si>
    <t>Water:</t>
  </si>
  <si>
    <t>IFT * Cosine Contact Angle:</t>
  </si>
  <si>
    <t>Gas-Water,</t>
  </si>
  <si>
    <t>Permeability to Air (calc), mD:</t>
  </si>
  <si>
    <t>Pore Radius,</t>
  </si>
  <si>
    <t>Mercury Injection</t>
  </si>
  <si>
    <t>Pressure,</t>
  </si>
  <si>
    <t>Radius,</t>
  </si>
  <si>
    <t>d Sw/d Log</t>
  </si>
  <si>
    <t>Reservoir IFT</t>
  </si>
  <si>
    <t>&lt; 0.0018</t>
  </si>
  <si>
    <t>Mercury Contact Angle</t>
  </si>
  <si>
    <t>Grain</t>
  </si>
  <si>
    <t>Injection</t>
  </si>
  <si>
    <t>Other Laboratory Systems</t>
  </si>
  <si>
    <t>Permeability</t>
  </si>
  <si>
    <t>J</t>
  </si>
  <si>
    <t>Pore</t>
  </si>
  <si>
    <t>Cum. (mD)</t>
  </si>
  <si>
    <t>Incremental</t>
  </si>
  <si>
    <t>Sample Depth, m:</t>
  </si>
  <si>
    <t>NordAq Energy Inc.</t>
  </si>
  <si>
    <t>East Simpson No. 2 (USGS/Husky 1980)</t>
  </si>
  <si>
    <t>Torok Sandstones Formation</t>
  </si>
  <si>
    <t>HH-61176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</si>
</sst>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6" formatCode="0.0_)"/>
    <numFmt numFmtId="168" formatCode="0.0"/>
    <numFmt numFmtId="169" formatCode="0.000"/>
    <numFmt numFmtId="170" formatCode="0.0000"/>
    <numFmt numFmtId="171" formatCode="???0.00"/>
    <numFmt numFmtId="172" formatCode="[&lt;1]0.?0;[&gt;10]0;0.0"/>
    <numFmt numFmtId="173" formatCode="[&lt;1]0.000;[&gt;10]0.0;0.00"/>
    <numFmt numFmtId="174" formatCode="[&lt;0.1]0.000;[&gt;0.1]0.00;0.0"/>
    <numFmt numFmtId="175" formatCode="[Blue]General"/>
    <numFmt numFmtId="176" formatCode="?????.0"/>
    <numFmt numFmtId="177" formatCode="[&lt;10]???0.00;[&gt;100]???0;???0.0"/>
    <numFmt numFmtId="178" formatCode="?????"/>
    <numFmt numFmtId="179" formatCode="?????.00"/>
    <numFmt numFmtId="180" formatCode="[&lt;100]????0.0;[&gt;100]?????;General"/>
    <numFmt numFmtId="181" formatCode="????0.00"/>
    <numFmt numFmtId="183" formatCode="??0."/>
    <numFmt numFmtId="184" formatCode="??????0.0000"/>
    <numFmt numFmtId="186" formatCode="????0.0?"/>
    <numFmt numFmtId="187" formatCode="????0.??"/>
    <numFmt numFmtId="188" formatCode="0.00??"/>
    <numFmt numFmtId="189" formatCode="0.00000"/>
    <numFmt numFmtId="191" formatCode="m\-dd\-yy"/>
    <numFmt numFmtId="192" formatCode="??0.000"/>
    <numFmt numFmtId="194" formatCode="???0.000"/>
    <numFmt numFmtId="196" formatCode="????0.000"/>
    <numFmt numFmtId="197" formatCode="??0.0000"/>
    <numFmt numFmtId="198" formatCode="0.0\ \ \ \ 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indexed="12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i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0" fontId="8" fillId="0" borderId="0"/>
  </cellStyleXfs>
  <cellXfs count="171">
    <xf numFmtId="0" fontId="0" fillId="0" borderId="0" xfId="0"/>
    <xf numFmtId="192" fontId="0" fillId="0" borderId="0" xfId="3" applyNumberFormat="1" applyFont="1" applyBorder="1" applyAlignment="1" applyProtection="1">
      <alignment horizontal="center"/>
    </xf>
    <xf numFmtId="0" fontId="0" fillId="0" borderId="2" xfId="3" applyFont="1" applyBorder="1"/>
    <xf numFmtId="0" fontId="0" fillId="0" borderId="0" xfId="3" applyFont="1" applyProtection="1"/>
    <xf numFmtId="183" fontId="0" fillId="0" borderId="0" xfId="0" applyNumberFormat="1" applyBorder="1" applyAlignment="1">
      <alignment horizontal="center"/>
    </xf>
    <xf numFmtId="0" fontId="0" fillId="0" borderId="0" xfId="3" applyFont="1" applyBorder="1" applyAlignment="1" applyProtection="1">
      <alignment horizontal="centerContinuous" vertical="center"/>
    </xf>
    <xf numFmtId="169" fontId="0" fillId="0" borderId="3" xfId="3" applyNumberFormat="1" applyFont="1" applyBorder="1" applyAlignment="1" applyProtection="1">
      <alignment horizontal="center"/>
    </xf>
    <xf numFmtId="169" fontId="2" fillId="0" borderId="4" xfId="3" applyNumberFormat="1" applyFont="1" applyBorder="1" applyProtection="1">
      <protection locked="0"/>
    </xf>
    <xf numFmtId="0" fontId="0" fillId="0" borderId="1" xfId="3" applyFont="1" applyBorder="1" applyAlignment="1" applyProtection="1">
      <alignment horizontal="centerContinuous" vertical="center"/>
    </xf>
    <xf numFmtId="0" fontId="0" fillId="0" borderId="5" xfId="3" applyFont="1" applyBorder="1" applyAlignment="1">
      <alignment horizontal="center"/>
    </xf>
    <xf numFmtId="1" fontId="2" fillId="0" borderId="0" xfId="3" applyNumberFormat="1" applyFont="1" applyBorder="1" applyAlignment="1" applyProtection="1">
      <alignment horizontal="center"/>
      <protection locked="0"/>
    </xf>
    <xf numFmtId="168" fontId="0" fillId="0" borderId="0" xfId="3" applyNumberFormat="1" applyFont="1" applyProtection="1"/>
    <xf numFmtId="1" fontId="2" fillId="0" borderId="9" xfId="3" applyNumberFormat="1" applyFont="1" applyBorder="1" applyAlignment="1" applyProtection="1">
      <alignment horizontal="center"/>
      <protection locked="0"/>
    </xf>
    <xf numFmtId="177" fontId="0" fillId="0" borderId="0" xfId="3" applyNumberFormat="1" applyFont="1" applyBorder="1" applyProtection="1"/>
    <xf numFmtId="191" fontId="0" fillId="0" borderId="0" xfId="0" applyNumberFormat="1" applyAlignment="1">
      <alignment horizontal="left"/>
    </xf>
    <xf numFmtId="0" fontId="0" fillId="0" borderId="0" xfId="3" applyFont="1" applyFill="1" applyProtection="1"/>
    <xf numFmtId="1" fontId="0" fillId="0" borderId="0" xfId="3" applyNumberFormat="1" applyFont="1" applyProtection="1"/>
    <xf numFmtId="186" fontId="0" fillId="0" borderId="0" xfId="3" applyNumberFormat="1" applyFont="1" applyAlignment="1" applyProtection="1">
      <alignment horizontal="center"/>
    </xf>
    <xf numFmtId="2" fontId="0" fillId="0" borderId="0" xfId="3" applyNumberFormat="1" applyFont="1" applyBorder="1" applyAlignment="1" applyProtection="1">
      <alignment horizontal="center"/>
    </xf>
    <xf numFmtId="170" fontId="0" fillId="0" borderId="0" xfId="0" applyNumberFormat="1" applyFill="1" applyBorder="1" applyAlignment="1"/>
    <xf numFmtId="0" fontId="2" fillId="0" borderId="6" xfId="3" applyNumberFormat="1" applyFont="1" applyBorder="1" applyAlignment="1" applyProtection="1">
      <alignment horizontal="center"/>
      <protection locked="0"/>
    </xf>
    <xf numFmtId="0" fontId="0" fillId="0" borderId="1" xfId="3" applyFont="1" applyBorder="1"/>
    <xf numFmtId="0" fontId="3" fillId="0" borderId="0" xfId="3" applyFont="1" applyBorder="1" applyAlignment="1">
      <alignment horizontal="centerContinuous"/>
    </xf>
    <xf numFmtId="0" fontId="0" fillId="0" borderId="0" xfId="0" applyBorder="1" applyAlignment="1">
      <alignment horizontal="center"/>
    </xf>
    <xf numFmtId="0" fontId="0" fillId="0" borderId="0" xfId="3" applyFont="1" applyBorder="1" applyAlignment="1" applyProtection="1">
      <alignment horizontal="center"/>
      <protection locked="0"/>
    </xf>
    <xf numFmtId="0" fontId="0" fillId="0" borderId="0" xfId="3" applyFont="1" applyBorder="1" applyAlignment="1" applyProtection="1">
      <alignment horizontal="center" vertical="center"/>
    </xf>
    <xf numFmtId="0" fontId="0" fillId="0" borderId="0" xfId="3" applyFont="1" applyBorder="1" applyAlignment="1" applyProtection="1">
      <alignment horizontal="left"/>
    </xf>
    <xf numFmtId="0" fontId="0" fillId="0" borderId="0" xfId="3" applyFont="1" applyBorder="1" applyAlignment="1">
      <alignment horizontal="centerContinuous"/>
    </xf>
    <xf numFmtId="0" fontId="0" fillId="0" borderId="2" xfId="3" applyFont="1" applyBorder="1" applyProtection="1"/>
    <xf numFmtId="2" fontId="0" fillId="0" borderId="0" xfId="0" applyNumberFormat="1" applyFont="1" applyAlignment="1">
      <alignment horizontal="right"/>
    </xf>
    <xf numFmtId="0" fontId="0" fillId="0" borderId="0" xfId="0" applyFont="1" applyAlignment="1">
      <alignment horizontal="center"/>
    </xf>
    <xf numFmtId="0" fontId="0" fillId="0" borderId="0" xfId="3" applyNumberFormat="1" applyFont="1" applyBorder="1" applyProtection="1"/>
    <xf numFmtId="166" fontId="0" fillId="0" borderId="0" xfId="3" applyNumberFormat="1" applyFont="1" applyBorder="1" applyAlignment="1" applyProtection="1">
      <alignment horizontal="center"/>
    </xf>
    <xf numFmtId="169" fontId="0" fillId="0" borderId="0" xfId="3" applyNumberFormat="1" applyFont="1" applyAlignment="1" applyProtection="1">
      <alignment horizontal="right"/>
    </xf>
    <xf numFmtId="166" fontId="0" fillId="0" borderId="9" xfId="3" applyNumberFormat="1" applyFont="1" applyBorder="1" applyAlignment="1" applyProtection="1">
      <alignment horizontal="center"/>
    </xf>
    <xf numFmtId="175" fontId="0" fillId="0" borderId="0" xfId="3" applyNumberFormat="1" applyFont="1" applyBorder="1" applyAlignment="1" applyProtection="1">
      <alignment horizontal="center"/>
      <protection locked="0"/>
    </xf>
    <xf numFmtId="0" fontId="0" fillId="0" borderId="4" xfId="0" applyFont="1" applyBorder="1" applyAlignment="1">
      <alignment horizontal="center"/>
    </xf>
    <xf numFmtId="0" fontId="0" fillId="0" borderId="11" xfId="3" applyFont="1" applyBorder="1"/>
    <xf numFmtId="0" fontId="0" fillId="0" borderId="0" xfId="3" applyFont="1" applyBorder="1" applyAlignment="1">
      <alignment horizontal="center"/>
    </xf>
    <xf numFmtId="0" fontId="0" fillId="0" borderId="0" xfId="0" applyFill="1" applyBorder="1" applyAlignment="1"/>
    <xf numFmtId="0" fontId="0" fillId="0" borderId="1" xfId="3" applyFont="1" applyBorder="1" applyProtection="1"/>
    <xf numFmtId="0" fontId="4" fillId="0" borderId="0" xfId="3" applyFont="1" applyAlignment="1" applyProtection="1"/>
    <xf numFmtId="169" fontId="2" fillId="0" borderId="0" xfId="0" applyNumberFormat="1" applyFont="1"/>
    <xf numFmtId="169" fontId="0" fillId="0" borderId="0" xfId="0" applyNumberFormat="1" applyFont="1" applyBorder="1"/>
    <xf numFmtId="181" fontId="0" fillId="0" borderId="13" xfId="3" applyNumberFormat="1" applyFont="1" applyBorder="1" applyAlignment="1" applyProtection="1">
      <alignment horizontal="centerContinuous"/>
    </xf>
    <xf numFmtId="184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0" fontId="0" fillId="0" borderId="0" xfId="3" applyFont="1" applyBorder="1" applyAlignment="1" applyProtection="1">
      <alignment horizontal="centerContinuous"/>
    </xf>
    <xf numFmtId="171" fontId="0" fillId="0" borderId="0" xfId="3" applyNumberFormat="1" applyFont="1" applyAlignment="1" applyProtection="1">
      <alignment horizontal="center"/>
    </xf>
    <xf numFmtId="1" fontId="0" fillId="0" borderId="0" xfId="0" quotePrefix="1" applyNumberFormat="1" applyFont="1" applyAlignment="1">
      <alignment horizontal="right"/>
    </xf>
    <xf numFmtId="191" fontId="0" fillId="0" borderId="0" xfId="2" applyNumberFormat="1" applyFont="1" applyFill="1"/>
    <xf numFmtId="0" fontId="0" fillId="0" borderId="0" xfId="3" applyFont="1" applyBorder="1" applyAlignment="1"/>
    <xf numFmtId="2" fontId="0" fillId="0" borderId="0" xfId="0" applyNumberFormat="1" applyFont="1"/>
    <xf numFmtId="181" fontId="0" fillId="0" borderId="5" xfId="3" applyNumberFormat="1" applyFont="1" applyBorder="1" applyAlignment="1" applyProtection="1">
      <alignment horizontal="centerContinuous"/>
    </xf>
    <xf numFmtId="0" fontId="0" fillId="0" borderId="0" xfId="3" applyFont="1" applyBorder="1" applyAlignment="1" applyProtection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14" xfId="0" applyFont="1" applyBorder="1"/>
    <xf numFmtId="180" fontId="0" fillId="0" borderId="0" xfId="3" applyNumberFormat="1" applyFont="1" applyBorder="1" applyAlignment="1" applyProtection="1">
      <alignment horizontal="center"/>
    </xf>
    <xf numFmtId="194" fontId="0" fillId="0" borderId="0" xfId="3" applyNumberFormat="1" applyFont="1" applyAlignment="1" applyProtection="1">
      <alignment horizontal="center"/>
    </xf>
    <xf numFmtId="181" fontId="0" fillId="0" borderId="0" xfId="3" applyNumberFormat="1" applyFont="1" applyAlignment="1" applyProtection="1">
      <alignment horizontal="center"/>
    </xf>
    <xf numFmtId="194" fontId="0" fillId="0" borderId="0" xfId="3" applyNumberFormat="1" applyFont="1" applyFill="1" applyAlignment="1" applyProtection="1">
      <alignment horizontal="center"/>
    </xf>
    <xf numFmtId="14" fontId="0" fillId="0" borderId="0" xfId="0" applyNumberFormat="1" applyFont="1"/>
    <xf numFmtId="188" fontId="0" fillId="0" borderId="0" xfId="3" applyNumberFormat="1" applyFont="1" applyAlignment="1" applyProtection="1">
      <alignment horizontal="center"/>
    </xf>
    <xf numFmtId="0" fontId="0" fillId="0" borderId="0" xfId="0" applyFill="1" applyBorder="1" applyAlignment="1">
      <alignment vertical="center"/>
    </xf>
    <xf numFmtId="169" fontId="0" fillId="0" borderId="0" xfId="0" applyNumberFormat="1" applyFont="1" applyAlignment="1">
      <alignment horizontal="center"/>
    </xf>
    <xf numFmtId="0" fontId="0" fillId="0" borderId="0" xfId="0" applyFont="1"/>
    <xf numFmtId="169" fontId="0" fillId="0" borderId="0" xfId="3" applyNumberFormat="1" applyFont="1" applyBorder="1" applyAlignment="1">
      <alignment horizontal="center"/>
    </xf>
    <xf numFmtId="198" fontId="0" fillId="0" borderId="0" xfId="0" quotePrefix="1" applyNumberFormat="1" applyFont="1" applyBorder="1" applyAlignment="1">
      <alignment horizontal="left"/>
    </xf>
    <xf numFmtId="170" fontId="0" fillId="0" borderId="0" xfId="3" applyNumberFormat="1" applyFont="1" applyAlignment="1" applyProtection="1">
      <alignment horizontal="right"/>
    </xf>
    <xf numFmtId="0" fontId="5" fillId="0" borderId="0" xfId="3" applyFont="1" applyProtection="1"/>
    <xf numFmtId="0" fontId="0" fillId="0" borderId="0" xfId="3" applyFont="1" applyBorder="1"/>
    <xf numFmtId="169" fontId="2" fillId="0" borderId="8" xfId="3" applyNumberFormat="1" applyFont="1" applyBorder="1" applyProtection="1">
      <protection locked="0"/>
    </xf>
    <xf numFmtId="189" fontId="0" fillId="0" borderId="0" xfId="0" applyNumberFormat="1" applyFont="1" applyAlignment="1">
      <alignment horizontal="right"/>
    </xf>
    <xf numFmtId="170" fontId="0" fillId="0" borderId="0" xfId="0" applyNumberFormat="1" applyAlignment="1">
      <alignment horizontal="center"/>
    </xf>
    <xf numFmtId="192" fontId="0" fillId="0" borderId="0" xfId="3" applyNumberFormat="1" applyFont="1" applyAlignment="1" applyProtection="1">
      <alignment horizontal="center"/>
    </xf>
    <xf numFmtId="174" fontId="0" fillId="0" borderId="0" xfId="3" applyNumberFormat="1" applyFont="1" applyBorder="1" applyAlignment="1" applyProtection="1">
      <alignment horizontal="center"/>
    </xf>
    <xf numFmtId="168" fontId="0" fillId="0" borderId="0" xfId="0" applyNumberFormat="1" applyBorder="1" applyAlignment="1">
      <alignment horizontal="center"/>
    </xf>
    <xf numFmtId="196" fontId="0" fillId="0" borderId="0" xfId="3" applyNumberFormat="1" applyFont="1" applyAlignment="1" applyProtection="1">
      <alignment horizontal="left"/>
    </xf>
    <xf numFmtId="0" fontId="0" fillId="2" borderId="0" xfId="0" applyFill="1" applyBorder="1" applyAlignment="1">
      <alignment vertical="center"/>
    </xf>
    <xf numFmtId="169" fontId="0" fillId="0" borderId="0" xfId="3" applyNumberFormat="1" applyFont="1" applyBorder="1" applyAlignment="1" applyProtection="1">
      <alignment horizontal="center"/>
    </xf>
    <xf numFmtId="169" fontId="2" fillId="0" borderId="0" xfId="3" applyNumberFormat="1" applyFont="1" applyBorder="1" applyProtection="1">
      <protection locked="0"/>
    </xf>
    <xf numFmtId="169" fontId="2" fillId="0" borderId="9" xfId="3" applyNumberFormat="1" applyFont="1" applyBorder="1" applyProtection="1">
      <protection locked="0"/>
    </xf>
    <xf numFmtId="0" fontId="0" fillId="0" borderId="4" xfId="3" applyFont="1" applyBorder="1" applyAlignment="1" applyProtection="1">
      <alignment horizontal="centerContinuous" vertical="center"/>
    </xf>
    <xf numFmtId="0" fontId="0" fillId="0" borderId="0" xfId="3" applyFont="1" applyAlignment="1" applyProtection="1">
      <alignment horizontal="right"/>
    </xf>
    <xf numFmtId="0" fontId="0" fillId="0" borderId="0" xfId="3" applyFont="1" applyBorder="1" applyProtection="1"/>
    <xf numFmtId="169" fontId="0" fillId="0" borderId="0" xfId="3" applyNumberFormat="1" applyFont="1"/>
    <xf numFmtId="0" fontId="0" fillId="0" borderId="0" xfId="3" applyNumberFormat="1" applyFont="1" applyAlignment="1" applyProtection="1">
      <alignment horizontal="left"/>
    </xf>
    <xf numFmtId="1" fontId="2" fillId="0" borderId="4" xfId="3" applyNumberFormat="1" applyFont="1" applyBorder="1" applyAlignment="1" applyProtection="1">
      <alignment horizontal="center"/>
      <protection locked="0"/>
    </xf>
    <xf numFmtId="169" fontId="2" fillId="0" borderId="0" xfId="3" applyNumberFormat="1" applyFont="1" applyFill="1" applyBorder="1" applyProtection="1">
      <protection locked="0"/>
    </xf>
    <xf numFmtId="0" fontId="3" fillId="0" borderId="0" xfId="3" applyFont="1" applyAlignment="1">
      <alignment horizontal="centerContinuous"/>
    </xf>
    <xf numFmtId="168" fontId="0" fillId="0" borderId="0" xfId="3" applyNumberFormat="1" applyFont="1" applyBorder="1" applyProtection="1"/>
    <xf numFmtId="0" fontId="0" fillId="0" borderId="0" xfId="3" applyFont="1" applyAlignment="1">
      <alignment horizontal="centerContinuous"/>
    </xf>
    <xf numFmtId="0" fontId="0" fillId="0" borderId="0" xfId="3" applyFont="1" applyAlignment="1" applyProtection="1">
      <alignment horizontal="left"/>
    </xf>
    <xf numFmtId="0" fontId="0" fillId="0" borderId="2" xfId="3" applyFont="1" applyBorder="1" applyAlignment="1" applyProtection="1">
      <alignment horizontal="centerContinuous" vertical="center"/>
    </xf>
    <xf numFmtId="2" fontId="0" fillId="0" borderId="3" xfId="3" applyNumberFormat="1" applyFont="1" applyBorder="1" applyAlignment="1" applyProtection="1">
      <alignment horizontal="center"/>
    </xf>
    <xf numFmtId="1" fontId="0" fillId="0" borderId="0" xfId="3" applyNumberFormat="1" applyFont="1" applyBorder="1" applyProtection="1"/>
    <xf numFmtId="0" fontId="2" fillId="0" borderId="0" xfId="3" applyNumberFormat="1" applyFont="1" applyBorder="1" applyAlignment="1" applyProtection="1">
      <alignment horizontal="center"/>
      <protection locked="0"/>
    </xf>
    <xf numFmtId="0" fontId="0" fillId="0" borderId="7" xfId="3" applyFont="1" applyBorder="1" applyAlignment="1" applyProtection="1">
      <alignment horizontal="center" vertical="center"/>
    </xf>
    <xf numFmtId="0" fontId="0" fillId="0" borderId="3" xfId="3" applyFont="1" applyBorder="1" applyAlignment="1" applyProtection="1">
      <alignment horizontal="center" vertical="center"/>
    </xf>
    <xf numFmtId="197" fontId="0" fillId="0" borderId="0" xfId="3" applyNumberFormat="1" applyFont="1" applyAlignment="1" applyProtection="1">
      <alignment horizontal="center"/>
    </xf>
    <xf numFmtId="0" fontId="0" fillId="0" borderId="0" xfId="3" applyNumberFormat="1" applyFont="1" applyProtection="1"/>
    <xf numFmtId="172" fontId="0" fillId="0" borderId="0" xfId="3" applyNumberFormat="1" applyFont="1" applyAlignment="1" applyProtection="1">
      <alignment horizontal="center"/>
    </xf>
    <xf numFmtId="0" fontId="0" fillId="0" borderId="7" xfId="3" applyFont="1" applyFill="1" applyBorder="1" applyAlignment="1" applyProtection="1">
      <alignment horizontal="center" vertical="center"/>
    </xf>
    <xf numFmtId="178" fontId="0" fillId="0" borderId="0" xfId="3" applyNumberFormat="1" applyFont="1" applyBorder="1" applyAlignment="1" applyProtection="1">
      <alignment horizontal="center"/>
    </xf>
    <xf numFmtId="0" fontId="6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horizontal="center"/>
    </xf>
    <xf numFmtId="169" fontId="0" fillId="0" borderId="0" xfId="0" applyNumberFormat="1" applyFont="1"/>
    <xf numFmtId="0" fontId="3" fillId="0" borderId="0" xfId="3" applyFont="1" applyAlignment="1" applyProtection="1">
      <alignment horizontal="centerContinuous"/>
    </xf>
    <xf numFmtId="0" fontId="0" fillId="0" borderId="2" xfId="3" applyFont="1" applyBorder="1" applyAlignment="1" applyProtection="1">
      <alignment horizontal="left"/>
    </xf>
    <xf numFmtId="196" fontId="0" fillId="0" borderId="0" xfId="3" applyNumberFormat="1" applyFont="1" applyAlignment="1" applyProtection="1">
      <alignment horizontal="center"/>
    </xf>
    <xf numFmtId="166" fontId="0" fillId="0" borderId="4" xfId="3" applyNumberFormat="1" applyFont="1" applyBorder="1" applyAlignment="1" applyProtection="1">
      <alignment horizontal="center"/>
    </xf>
    <xf numFmtId="0" fontId="0" fillId="0" borderId="6" xfId="3" applyFont="1" applyBorder="1" applyAlignment="1">
      <alignment horizontal="center"/>
    </xf>
    <xf numFmtId="0" fontId="0" fillId="0" borderId="0" xfId="3" applyFont="1" applyAlignment="1" applyProtection="1">
      <alignment horizontal="centerContinuous"/>
    </xf>
    <xf numFmtId="0" fontId="0" fillId="0" borderId="13" xfId="3" applyFont="1" applyBorder="1" applyAlignment="1" applyProtection="1">
      <alignment horizontal="center"/>
    </xf>
    <xf numFmtId="175" fontId="0" fillId="0" borderId="4" xfId="3" applyNumberFormat="1" applyFont="1" applyBorder="1" applyAlignment="1" applyProtection="1">
      <alignment horizontal="center"/>
      <protection locked="0"/>
    </xf>
    <xf numFmtId="0" fontId="0" fillId="0" borderId="0" xfId="3" applyFont="1" applyAlignment="1"/>
    <xf numFmtId="169" fontId="0" fillId="0" borderId="0" xfId="3" applyNumberFormat="1" applyFont="1" applyBorder="1"/>
    <xf numFmtId="184" fontId="0" fillId="0" borderId="0" xfId="0" applyNumberForma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187" fontId="0" fillId="0" borderId="0" xfId="3" applyNumberFormat="1" applyFont="1" applyAlignment="1" applyProtection="1">
      <alignment horizontal="center"/>
    </xf>
    <xf numFmtId="2" fontId="0" fillId="0" borderId="0" xfId="3" applyNumberFormat="1" applyFont="1" applyAlignment="1" applyProtection="1">
      <alignment horizontal="right"/>
    </xf>
    <xf numFmtId="0" fontId="0" fillId="0" borderId="6" xfId="3" applyNumberFormat="1" applyFont="1" applyBorder="1" applyAlignment="1" applyProtection="1">
      <alignment horizontal="center"/>
    </xf>
    <xf numFmtId="0" fontId="3" fillId="0" borderId="0" xfId="3" applyFont="1" applyAlignment="1" applyProtection="1">
      <alignment horizontal="center"/>
    </xf>
    <xf numFmtId="0" fontId="0" fillId="0" borderId="0" xfId="3" applyFont="1" applyAlignment="1" applyProtection="1">
      <alignment horizontal="center"/>
    </xf>
    <xf numFmtId="0" fontId="0" fillId="0" borderId="11" xfId="3" applyFont="1" applyBorder="1" applyAlignment="1" applyProtection="1">
      <alignment horizontal="centerContinuous" vertical="center"/>
    </xf>
    <xf numFmtId="2" fontId="0" fillId="0" borderId="0" xfId="0" applyNumberFormat="1" applyAlignment="1">
      <alignment horizontal="center"/>
    </xf>
    <xf numFmtId="0" fontId="0" fillId="0" borderId="5" xfId="3" applyFont="1" applyBorder="1" applyAlignment="1" applyProtection="1">
      <alignment horizontal="center"/>
    </xf>
    <xf numFmtId="176" fontId="0" fillId="0" borderId="0" xfId="3" applyNumberFormat="1" applyFont="1" applyBorder="1" applyAlignment="1" applyProtection="1">
      <alignment horizontal="center"/>
    </xf>
    <xf numFmtId="181" fontId="0" fillId="0" borderId="0" xfId="3" applyNumberFormat="1" applyFont="1" applyBorder="1" applyAlignment="1" applyProtection="1">
      <alignment horizontal="centerContinuous"/>
    </xf>
    <xf numFmtId="177" fontId="0" fillId="0" borderId="0" xfId="3" applyNumberFormat="1" applyFont="1" applyBorder="1" applyAlignment="1" applyProtection="1">
      <alignment horizontal="center"/>
    </xf>
    <xf numFmtId="192" fontId="0" fillId="0" borderId="12" xfId="3" applyNumberFormat="1" applyFont="1" applyBorder="1" applyAlignment="1" applyProtection="1">
      <alignment horizontal="centerContinuous"/>
    </xf>
    <xf numFmtId="0" fontId="0" fillId="0" borderId="14" xfId="0" applyBorder="1" applyAlignment="1">
      <alignment horizontal="center"/>
    </xf>
    <xf numFmtId="0" fontId="0" fillId="0" borderId="0" xfId="3" applyFont="1" applyAlignment="1">
      <alignment horizontal="right"/>
    </xf>
    <xf numFmtId="0" fontId="0" fillId="0" borderId="14" xfId="3" applyFont="1" applyBorder="1" applyAlignment="1" applyProtection="1">
      <alignment horizontal="center" vertical="center"/>
    </xf>
    <xf numFmtId="181" fontId="0" fillId="0" borderId="0" xfId="3" applyNumberFormat="1" applyFont="1" applyBorder="1" applyAlignment="1" applyProtection="1">
      <alignment horizontal="center"/>
    </xf>
    <xf numFmtId="0" fontId="0" fillId="0" borderId="15" xfId="0" applyBorder="1" applyAlignment="1">
      <alignment horizontal="center"/>
    </xf>
    <xf numFmtId="0" fontId="7" fillId="2" borderId="0" xfId="0" applyFont="1" applyFill="1" applyBorder="1" applyAlignment="1">
      <alignment vertical="center"/>
    </xf>
    <xf numFmtId="0" fontId="0" fillId="0" borderId="15" xfId="3" applyFont="1" applyBorder="1" applyAlignment="1" applyProtection="1">
      <alignment horizontal="center" vertical="center"/>
    </xf>
    <xf numFmtId="0" fontId="0" fillId="0" borderId="0" xfId="3" applyNumberFormat="1" applyFont="1" applyBorder="1" applyAlignment="1" applyProtection="1">
      <alignment horizontal="center"/>
    </xf>
    <xf numFmtId="0" fontId="0" fillId="0" borderId="14" xfId="3" applyFont="1" applyFill="1" applyBorder="1" applyAlignment="1" applyProtection="1">
      <alignment horizontal="center" vertical="center"/>
    </xf>
    <xf numFmtId="183" fontId="0" fillId="0" borderId="0" xfId="0" applyNumberFormat="1" applyAlignment="1">
      <alignment horizontal="center"/>
    </xf>
    <xf numFmtId="0" fontId="0" fillId="0" borderId="10" xfId="3" applyFont="1" applyBorder="1"/>
    <xf numFmtId="173" fontId="0" fillId="0" borderId="0" xfId="3" applyNumberFormat="1" applyFont="1" applyBorder="1" applyAlignment="1" applyProtection="1">
      <alignment horizontal="center"/>
    </xf>
    <xf numFmtId="169" fontId="0" fillId="0" borderId="0" xfId="3" applyNumberFormat="1" applyFont="1" applyAlignment="1">
      <alignment horizontal="center"/>
    </xf>
    <xf numFmtId="169" fontId="0" fillId="0" borderId="0" xfId="0" applyNumberFormat="1" applyFont="1" applyBorder="1" applyAlignment="1">
      <alignment horizontal="center"/>
    </xf>
    <xf numFmtId="0" fontId="0" fillId="0" borderId="15" xfId="3" applyFont="1" applyFill="1" applyBorder="1" applyAlignment="1" applyProtection="1">
      <alignment horizontal="center" vertical="center"/>
    </xf>
    <xf numFmtId="192" fontId="0" fillId="0" borderId="0" xfId="3" applyNumberFormat="1" applyFont="1" applyBorder="1" applyAlignment="1" applyProtection="1">
      <alignment horizontal="centerContinuous"/>
    </xf>
    <xf numFmtId="0" fontId="0" fillId="0" borderId="0" xfId="3" applyFont="1"/>
    <xf numFmtId="179" fontId="0" fillId="0" borderId="0" xfId="3" applyNumberFormat="1" applyFont="1" applyBorder="1" applyAlignment="1" applyProtection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 applyBorder="1"/>
    <xf numFmtId="0" fontId="0" fillId="0" borderId="6" xfId="3" applyFont="1" applyBorder="1"/>
    <xf numFmtId="0" fontId="0" fillId="0" borderId="6" xfId="3" applyFont="1" applyBorder="1" applyAlignment="1" applyProtection="1">
      <alignment horizontal="center"/>
      <protection locked="0"/>
    </xf>
    <xf numFmtId="0" fontId="0" fillId="0" borderId="10" xfId="3" applyFont="1" applyBorder="1" applyProtection="1"/>
    <xf numFmtId="168" fontId="0" fillId="0" borderId="0" xfId="0" applyNumberFormat="1" applyAlignment="1">
      <alignment horizontal="center"/>
    </xf>
    <xf numFmtId="0" fontId="0" fillId="0" borderId="8" xfId="3" applyFont="1" applyBorder="1" applyAlignment="1" applyProtection="1">
      <alignment horizontal="centerContinuous" vertical="center"/>
    </xf>
    <xf numFmtId="0" fontId="0" fillId="0" borderId="0" xfId="3" applyFont="1" applyFill="1"/>
    <xf numFmtId="2" fontId="0" fillId="0" borderId="0" xfId="0" applyNumberFormat="1" applyFont="1" applyAlignment="1"/>
    <xf numFmtId="169" fontId="0" fillId="0" borderId="0" xfId="3" applyNumberFormat="1" applyFont="1" applyAlignment="1" applyProtection="1">
      <alignment horizontal="center"/>
    </xf>
    <xf numFmtId="170" fontId="0" fillId="0" borderId="0" xfId="0" applyNumberFormat="1" applyBorder="1" applyAlignment="1">
      <alignment horizontal="center"/>
    </xf>
    <xf numFmtId="0" fontId="4" fillId="0" borderId="0" xfId="3" applyFont="1" applyAlignment="1" applyProtection="1">
      <alignment horizontal="center"/>
    </xf>
    <xf numFmtId="192" fontId="0" fillId="0" borderId="1" xfId="3" applyNumberFormat="1" applyFont="1" applyBorder="1" applyAlignment="1" applyProtection="1">
      <alignment horizontal="center"/>
    </xf>
    <xf numFmtId="192" fontId="0" fillId="0" borderId="8" xfId="3" applyNumberFormat="1" applyFont="1" applyBorder="1" applyAlignment="1" applyProtection="1">
      <alignment horizontal="center"/>
    </xf>
    <xf numFmtId="0" fontId="0" fillId="0" borderId="10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2" fontId="0" fillId="0" borderId="12" xfId="3" applyNumberFormat="1" applyFont="1" applyBorder="1" applyAlignment="1" applyProtection="1">
      <alignment horizontal="center"/>
    </xf>
    <xf numFmtId="2" fontId="0" fillId="0" borderId="13" xfId="3" applyNumberFormat="1" applyFont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13" xfId="0" applyBorder="1" applyAlignment="1">
      <alignment horizontal="center"/>
    </xf>
  </cellXfs>
  <cellStyles count="4">
    <cellStyle name="Normal" xfId="0" builtinId="0"/>
    <cellStyle name="Normal 2" xfId="1"/>
    <cellStyle name="Normal_Core Data H-3258" xfId="2"/>
    <cellStyle name="Normal_HG-DATA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5492957746478872"/>
          <c:y val="7.0234113712374549E-2"/>
          <c:w val="0.76760563380283331"/>
          <c:h val="0.81605351170568552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Table!$B$18:$B$136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6.705272782688205E-4</c:v>
                </c:pt>
                <c:pt idx="40">
                  <c:v>1.4629686071319717E-3</c:v>
                </c:pt>
                <c:pt idx="41">
                  <c:v>3.3526363913441021E-3</c:v>
                </c:pt>
                <c:pt idx="42">
                  <c:v>6.5833587320938735E-3</c:v>
                </c:pt>
                <c:pt idx="43">
                  <c:v>1.1825662907650107E-2</c:v>
                </c:pt>
                <c:pt idx="44">
                  <c:v>2.3773239865894542E-2</c:v>
                </c:pt>
                <c:pt idx="45">
                  <c:v>5.6446205425175248E-2</c:v>
                </c:pt>
                <c:pt idx="46">
                  <c:v>0.11837854312709541</c:v>
                </c:pt>
                <c:pt idx="47">
                  <c:v>0.20444986284669306</c:v>
                </c:pt>
                <c:pt idx="48">
                  <c:v>0.30508991161231325</c:v>
                </c:pt>
                <c:pt idx="49">
                  <c:v>0.3725693386162755</c:v>
                </c:pt>
                <c:pt idx="50">
                  <c:v>0.40646144468149947</c:v>
                </c:pt>
                <c:pt idx="51">
                  <c:v>0.43163669612922884</c:v>
                </c:pt>
                <c:pt idx="52">
                  <c:v>0.45583663517220357</c:v>
                </c:pt>
                <c:pt idx="53">
                  <c:v>0.47741542212740018</c:v>
                </c:pt>
                <c:pt idx="54">
                  <c:v>0.49759219750076195</c:v>
                </c:pt>
                <c:pt idx="55">
                  <c:v>0.5156964340140201</c:v>
                </c:pt>
                <c:pt idx="56">
                  <c:v>0.53355684242608958</c:v>
                </c:pt>
                <c:pt idx="57">
                  <c:v>0.55019811033221577</c:v>
                </c:pt>
                <c:pt idx="58">
                  <c:v>0.56562023773239856</c:v>
                </c:pt>
                <c:pt idx="59">
                  <c:v>0.57988418165193534</c:v>
                </c:pt>
                <c:pt idx="60">
                  <c:v>0.59347759829320323</c:v>
                </c:pt>
                <c:pt idx="61">
                  <c:v>0.60737580006095693</c:v>
                </c:pt>
                <c:pt idx="62">
                  <c:v>0.62054251752514478</c:v>
                </c:pt>
                <c:pt idx="63">
                  <c:v>0.63352636391344097</c:v>
                </c:pt>
                <c:pt idx="64">
                  <c:v>0.6458396830234685</c:v>
                </c:pt>
                <c:pt idx="65">
                  <c:v>0.65839683023468454</c:v>
                </c:pt>
                <c:pt idx="66">
                  <c:v>0.67101493447119775</c:v>
                </c:pt>
                <c:pt idx="67">
                  <c:v>0.68320633953063092</c:v>
                </c:pt>
                <c:pt idx="68">
                  <c:v>0.69545870161536116</c:v>
                </c:pt>
                <c:pt idx="69">
                  <c:v>0.70740627857360561</c:v>
                </c:pt>
                <c:pt idx="70">
                  <c:v>0.71868332825358128</c:v>
                </c:pt>
                <c:pt idx="71">
                  <c:v>0.72996037793355684</c:v>
                </c:pt>
                <c:pt idx="72">
                  <c:v>0.74111551356293814</c:v>
                </c:pt>
                <c:pt idx="73">
                  <c:v>0.75172203596464493</c:v>
                </c:pt>
                <c:pt idx="74">
                  <c:v>0.76275525754343187</c:v>
                </c:pt>
                <c:pt idx="75">
                  <c:v>0.77354465102103009</c:v>
                </c:pt>
                <c:pt idx="76">
                  <c:v>0.78421213044803406</c:v>
                </c:pt>
                <c:pt idx="77">
                  <c:v>0.79396525449558053</c:v>
                </c:pt>
                <c:pt idx="78">
                  <c:v>0.80341359341664131</c:v>
                </c:pt>
                <c:pt idx="79">
                  <c:v>0.81328863151478203</c:v>
                </c:pt>
                <c:pt idx="80">
                  <c:v>0.82231027125876255</c:v>
                </c:pt>
                <c:pt idx="81">
                  <c:v>0.83066138372447418</c:v>
                </c:pt>
                <c:pt idx="82">
                  <c:v>0.8393782383419689</c:v>
                </c:pt>
                <c:pt idx="83">
                  <c:v>0.84779030783297771</c:v>
                </c:pt>
                <c:pt idx="84">
                  <c:v>0.85595854922279779</c:v>
                </c:pt>
                <c:pt idx="85">
                  <c:v>0.86449253276440097</c:v>
                </c:pt>
                <c:pt idx="86">
                  <c:v>0.87247790307832973</c:v>
                </c:pt>
                <c:pt idx="87">
                  <c:v>0.88064614446814993</c:v>
                </c:pt>
                <c:pt idx="88">
                  <c:v>0.88850960073148422</c:v>
                </c:pt>
                <c:pt idx="89">
                  <c:v>0.89643401402011569</c:v>
                </c:pt>
                <c:pt idx="90">
                  <c:v>0.90387077110636993</c:v>
                </c:pt>
                <c:pt idx="91">
                  <c:v>0.91179518439500151</c:v>
                </c:pt>
                <c:pt idx="92">
                  <c:v>0.91819567205120389</c:v>
                </c:pt>
                <c:pt idx="93">
                  <c:v>0.92496190185918925</c:v>
                </c:pt>
                <c:pt idx="94">
                  <c:v>0.93148430356598599</c:v>
                </c:pt>
                <c:pt idx="95">
                  <c:v>0.93794574824748544</c:v>
                </c:pt>
                <c:pt idx="96">
                  <c:v>0.94404145077720203</c:v>
                </c:pt>
                <c:pt idx="97">
                  <c:v>0.94989332520572989</c:v>
                </c:pt>
                <c:pt idx="98">
                  <c:v>0.95531850045717759</c:v>
                </c:pt>
                <c:pt idx="99">
                  <c:v>0.96056080463273397</c:v>
                </c:pt>
                <c:pt idx="100">
                  <c:v>0.9652544955806156</c:v>
                </c:pt>
                <c:pt idx="101">
                  <c:v>0.96964340140201155</c:v>
                </c:pt>
                <c:pt idx="102">
                  <c:v>0.97391039317281303</c:v>
                </c:pt>
                <c:pt idx="103">
                  <c:v>0.97781164279183175</c:v>
                </c:pt>
                <c:pt idx="104">
                  <c:v>0.98134715025906738</c:v>
                </c:pt>
                <c:pt idx="105">
                  <c:v>0.98476074367570854</c:v>
                </c:pt>
                <c:pt idx="106">
                  <c:v>0.98768668088997258</c:v>
                </c:pt>
                <c:pt idx="107">
                  <c:v>0.98933252057299603</c:v>
                </c:pt>
                <c:pt idx="108">
                  <c:v>0.99189271563547698</c:v>
                </c:pt>
                <c:pt idx="109">
                  <c:v>0.99378238341968916</c:v>
                </c:pt>
                <c:pt idx="110">
                  <c:v>0.99536726607741544</c:v>
                </c:pt>
                <c:pt idx="111">
                  <c:v>0.99676927765925016</c:v>
                </c:pt>
                <c:pt idx="112">
                  <c:v>0.99774459006400484</c:v>
                </c:pt>
                <c:pt idx="113">
                  <c:v>0.9984760743675708</c:v>
                </c:pt>
                <c:pt idx="114">
                  <c:v>0.9993904297470283</c:v>
                </c:pt>
                <c:pt idx="115">
                  <c:v>0.99981712892410857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Table!$A$18:$A$136</c:f>
              <c:numCache>
                <c:formatCode>????0.00</c:formatCode>
                <c:ptCount val="119"/>
                <c:pt idx="0">
                  <c:v>1.5251665115356445</c:v>
                </c:pt>
                <c:pt idx="1">
                  <c:v>1.6010434627532959</c:v>
                </c:pt>
                <c:pt idx="2">
                  <c:v>1.822029709815979</c:v>
                </c:pt>
                <c:pt idx="3">
                  <c:v>2.0197198390960693</c:v>
                </c:pt>
                <c:pt idx="4">
                  <c:v>2.1800045967102051</c:v>
                </c:pt>
                <c:pt idx="5">
                  <c:v>2.3738393783569336</c:v>
                </c:pt>
                <c:pt idx="6">
                  <c:v>2.593677282333374</c:v>
                </c:pt>
                <c:pt idx="7">
                  <c:v>2.8300850391387939</c:v>
                </c:pt>
                <c:pt idx="8">
                  <c:v>3.0941364765167236</c:v>
                </c:pt>
                <c:pt idx="9">
                  <c:v>3.3660628795623779</c:v>
                </c:pt>
                <c:pt idx="10">
                  <c:v>3.7039406299591064</c:v>
                </c:pt>
                <c:pt idx="11">
                  <c:v>4.0441150665283203</c:v>
                </c:pt>
                <c:pt idx="12">
                  <c:v>4.420710563659668</c:v>
                </c:pt>
                <c:pt idx="13">
                  <c:v>4.835777759552002</c:v>
                </c:pt>
                <c:pt idx="14">
                  <c:v>5.2756175994873047</c:v>
                </c:pt>
                <c:pt idx="15">
                  <c:v>5.7682843208312988</c:v>
                </c:pt>
                <c:pt idx="16">
                  <c:v>6.3048362731933594</c:v>
                </c:pt>
                <c:pt idx="17">
                  <c:v>6.9050431251525879</c:v>
                </c:pt>
                <c:pt idx="18">
                  <c:v>7.5520882606506348</c:v>
                </c:pt>
                <c:pt idx="19">
                  <c:v>8.2457265853881836</c:v>
                </c:pt>
                <c:pt idx="20">
                  <c:v>9.0223779678344727</c:v>
                </c:pt>
                <c:pt idx="21">
                  <c:v>9.8756437301635742</c:v>
                </c:pt>
                <c:pt idx="22">
                  <c:v>10.786002159118652</c:v>
                </c:pt>
                <c:pt idx="23">
                  <c:v>11.88691520690918</c:v>
                </c:pt>
                <c:pt idx="24">
                  <c:v>12.87938404083252</c:v>
                </c:pt>
                <c:pt idx="25">
                  <c:v>14.18340015411377</c:v>
                </c:pt>
                <c:pt idx="26">
                  <c:v>15.473307609558105</c:v>
                </c:pt>
                <c:pt idx="27">
                  <c:v>16.871246337890625</c:v>
                </c:pt>
                <c:pt idx="28">
                  <c:v>18.465974807739258</c:v>
                </c:pt>
                <c:pt idx="29">
                  <c:v>20.259786605834961</c:v>
                </c:pt>
                <c:pt idx="30">
                  <c:v>22.160892486572266</c:v>
                </c:pt>
                <c:pt idx="31">
                  <c:v>24.256324768066406</c:v>
                </c:pt>
                <c:pt idx="32">
                  <c:v>26.599403381347656</c:v>
                </c:pt>
                <c:pt idx="33">
                  <c:v>28.96766471862793</c:v>
                </c:pt>
                <c:pt idx="34">
                  <c:v>29.812126159667969</c:v>
                </c:pt>
                <c:pt idx="35">
                  <c:v>32.570629119873047</c:v>
                </c:pt>
                <c:pt idx="36">
                  <c:v>36.388671875</c:v>
                </c:pt>
                <c:pt idx="37">
                  <c:v>40.323150634765625</c:v>
                </c:pt>
                <c:pt idx="38">
                  <c:v>44.258155822753906</c:v>
                </c:pt>
                <c:pt idx="39">
                  <c:v>49.374057769775391</c:v>
                </c:pt>
                <c:pt idx="40">
                  <c:v>52.047706604003906</c:v>
                </c:pt>
                <c:pt idx="41">
                  <c:v>58.846782684326172</c:v>
                </c:pt>
                <c:pt idx="42">
                  <c:v>63.858707427978516</c:v>
                </c:pt>
                <c:pt idx="43">
                  <c:v>70.839073181152344</c:v>
                </c:pt>
                <c:pt idx="44">
                  <c:v>75.749984741210937</c:v>
                </c:pt>
                <c:pt idx="45">
                  <c:v>82.688125610351563</c:v>
                </c:pt>
                <c:pt idx="46">
                  <c:v>91.88909912109375</c:v>
                </c:pt>
                <c:pt idx="47">
                  <c:v>101.04996490478516</c:v>
                </c:pt>
                <c:pt idx="48">
                  <c:v>110.13271331787109</c:v>
                </c:pt>
                <c:pt idx="49">
                  <c:v>120.52999114990234</c:v>
                </c:pt>
                <c:pt idx="50">
                  <c:v>132.16075134277344</c:v>
                </c:pt>
                <c:pt idx="51">
                  <c:v>144.48294067382812</c:v>
                </c:pt>
                <c:pt idx="52">
                  <c:v>158.00871276855469</c:v>
                </c:pt>
                <c:pt idx="53">
                  <c:v>173.680908203125</c:v>
                </c:pt>
                <c:pt idx="54">
                  <c:v>189.90277099609375</c:v>
                </c:pt>
                <c:pt idx="55">
                  <c:v>207.73518371582031</c:v>
                </c:pt>
                <c:pt idx="56">
                  <c:v>227.25628662109375</c:v>
                </c:pt>
                <c:pt idx="57">
                  <c:v>250.01400756835938</c:v>
                </c:pt>
                <c:pt idx="58">
                  <c:v>273.13150024414062</c:v>
                </c:pt>
                <c:pt idx="59">
                  <c:v>299.17291259765625</c:v>
                </c:pt>
                <c:pt idx="60">
                  <c:v>327.35787963867187</c:v>
                </c:pt>
                <c:pt idx="61">
                  <c:v>357.53256225585938</c:v>
                </c:pt>
                <c:pt idx="62">
                  <c:v>391.70175170898437</c:v>
                </c:pt>
                <c:pt idx="63">
                  <c:v>428.66647338867188</c:v>
                </c:pt>
                <c:pt idx="64">
                  <c:v>469.22003173828125</c:v>
                </c:pt>
                <c:pt idx="65">
                  <c:v>513.06890869140625</c:v>
                </c:pt>
                <c:pt idx="66">
                  <c:v>561.36602783203125</c:v>
                </c:pt>
                <c:pt idx="67">
                  <c:v>613.5567626953125</c:v>
                </c:pt>
                <c:pt idx="68">
                  <c:v>671.9100341796875</c:v>
                </c:pt>
                <c:pt idx="69">
                  <c:v>734.96923828125</c:v>
                </c:pt>
                <c:pt idx="70">
                  <c:v>804.43756103515625</c:v>
                </c:pt>
                <c:pt idx="71">
                  <c:v>879.293212890625</c:v>
                </c:pt>
                <c:pt idx="72">
                  <c:v>962.67474365234375</c:v>
                </c:pt>
                <c:pt idx="73">
                  <c:v>1048.8294677734375</c:v>
                </c:pt>
                <c:pt idx="74">
                  <c:v>1148.3460693359375</c:v>
                </c:pt>
                <c:pt idx="75">
                  <c:v>1259.0491943359375</c:v>
                </c:pt>
                <c:pt idx="76">
                  <c:v>1378.9620361328125</c:v>
                </c:pt>
                <c:pt idx="77">
                  <c:v>1508.8658447265625</c:v>
                </c:pt>
                <c:pt idx="78">
                  <c:v>1646.962646484375</c:v>
                </c:pt>
                <c:pt idx="79">
                  <c:v>1809.6121826171875</c:v>
                </c:pt>
                <c:pt idx="80">
                  <c:v>1978.09619140625</c:v>
                </c:pt>
                <c:pt idx="81">
                  <c:v>2157.66943359375</c:v>
                </c:pt>
                <c:pt idx="82">
                  <c:v>2367.843017578125</c:v>
                </c:pt>
                <c:pt idx="83">
                  <c:v>2587.8046875</c:v>
                </c:pt>
                <c:pt idx="84">
                  <c:v>2827.594970703125</c:v>
                </c:pt>
                <c:pt idx="85">
                  <c:v>3097.42578125</c:v>
                </c:pt>
                <c:pt idx="86">
                  <c:v>3385.851806640625</c:v>
                </c:pt>
                <c:pt idx="87">
                  <c:v>3706.689697265625</c:v>
                </c:pt>
                <c:pt idx="88">
                  <c:v>4056.8125</c:v>
                </c:pt>
                <c:pt idx="89">
                  <c:v>4435.58837890625</c:v>
                </c:pt>
                <c:pt idx="90">
                  <c:v>4846.455078125</c:v>
                </c:pt>
                <c:pt idx="91">
                  <c:v>5304.5751953125</c:v>
                </c:pt>
                <c:pt idx="92">
                  <c:v>5803.01416015625</c:v>
                </c:pt>
                <c:pt idx="93">
                  <c:v>6354.64404296875</c:v>
                </c:pt>
                <c:pt idx="94">
                  <c:v>6942.5107421875</c:v>
                </c:pt>
                <c:pt idx="95">
                  <c:v>7602.466796875</c:v>
                </c:pt>
                <c:pt idx="96">
                  <c:v>8312.4638671875</c:v>
                </c:pt>
                <c:pt idx="97">
                  <c:v>9092.8671875</c:v>
                </c:pt>
                <c:pt idx="98">
                  <c:v>9952.337890625</c:v>
                </c:pt>
                <c:pt idx="99">
                  <c:v>10890.92578125</c:v>
                </c:pt>
                <c:pt idx="100">
                  <c:v>11893.7421875</c:v>
                </c:pt>
                <c:pt idx="101">
                  <c:v>12993.474609375</c:v>
                </c:pt>
                <c:pt idx="102">
                  <c:v>14291.7177734375</c:v>
                </c:pt>
                <c:pt idx="103">
                  <c:v>15593.1416015625</c:v>
                </c:pt>
                <c:pt idx="104">
                  <c:v>17093.26953125</c:v>
                </c:pt>
                <c:pt idx="105">
                  <c:v>18689.8984375</c:v>
                </c:pt>
                <c:pt idx="106">
                  <c:v>20388.283203125</c:v>
                </c:pt>
                <c:pt idx="107">
                  <c:v>22293.544921875</c:v>
                </c:pt>
                <c:pt idx="108">
                  <c:v>24395.046875</c:v>
                </c:pt>
                <c:pt idx="109">
                  <c:v>26696.482421875</c:v>
                </c:pt>
                <c:pt idx="110">
                  <c:v>29294.302734375</c:v>
                </c:pt>
                <c:pt idx="111">
                  <c:v>31996.802734375</c:v>
                </c:pt>
                <c:pt idx="112">
                  <c:v>34997.22265625</c:v>
                </c:pt>
                <c:pt idx="113">
                  <c:v>38286.4140625</c:v>
                </c:pt>
                <c:pt idx="114">
                  <c:v>41872.66796875</c:v>
                </c:pt>
                <c:pt idx="115">
                  <c:v>45770.91015625</c:v>
                </c:pt>
                <c:pt idx="116">
                  <c:v>50071.73046875</c:v>
                </c:pt>
                <c:pt idx="117">
                  <c:v>54771.234375</c:v>
                </c:pt>
                <c:pt idx="118">
                  <c:v>59468.87109375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3640832"/>
        <c:axId val="160445184"/>
      </c:scatterChart>
      <c:valAx>
        <c:axId val="143640832"/>
        <c:scaling>
          <c:orientation val="maxMin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Mercury Saturation, fraction pore space</a:t>
                </a:r>
              </a:p>
            </c:rich>
          </c:tx>
          <c:layout>
            <c:manualLayout>
              <c:xMode val="edge"/>
              <c:yMode val="edge"/>
              <c:x val="0.28169014084507044"/>
              <c:y val="0.9364548494983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/>
            </a:pPr>
            <a:endParaRPr lang="en-US"/>
          </a:p>
        </c:txPr>
        <c:crossAx val="160445184"/>
        <c:crossesAt val="1.0000000000000041E-3"/>
        <c:crossBetween val="midCat"/>
        <c:majorUnit val="0.2"/>
        <c:minorUnit val="0.1"/>
      </c:valAx>
      <c:valAx>
        <c:axId val="160445184"/>
        <c:scaling>
          <c:logBase val="10"/>
          <c:orientation val="minMax"/>
          <c:max val="100000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Injection Pressure, psi.</a:t>
                </a:r>
              </a:p>
            </c:rich>
          </c:tx>
          <c:layout>
            <c:manualLayout>
              <c:xMode val="edge"/>
              <c:yMode val="edge"/>
              <c:x val="1.7605633802816906E-2"/>
              <c:y val="0.3377926421404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/>
            </a:pPr>
            <a:endParaRPr lang="en-US"/>
          </a:p>
        </c:txPr>
        <c:crossAx val="143640832"/>
        <c:crosses val="max"/>
        <c:crossBetween val="midCat"/>
        <c:majorUnit val="10"/>
        <c:minorUnit val="10"/>
      </c:valAx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3175">
      <a:solidFill>
        <a:schemeClr val="dk1"/>
      </a:solidFill>
    </a:ln>
  </c:spPr>
  <c:txPr>
    <a:bodyPr/>
    <a:lstStyle/>
    <a:p>
      <a:pPr>
        <a:defRPr sz="575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4041119369915644"/>
          <c:y val="5.3511705685618735E-2"/>
          <c:w val="0.71747821581027194"/>
          <c:h val="0.81040704360115523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660066"/>
              </a:solidFill>
            </a:ln>
          </c:spPr>
          <c:marker>
            <c:symbol val="circle"/>
            <c:size val="5"/>
            <c:spPr>
              <a:solidFill>
                <a:srgbClr val="660066"/>
              </a:solidFill>
              <a:ln>
                <a:solidFill>
                  <a:srgbClr val="660066"/>
                </a:solidFill>
              </a:ln>
            </c:spPr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0.99932947272173123</c:v>
                </c:pt>
                <c:pt idx="40">
                  <c:v>0.99853703139286798</c:v>
                </c:pt>
                <c:pt idx="41">
                  <c:v>0.99664736360865591</c:v>
                </c:pt>
                <c:pt idx="42">
                  <c:v>0.99341664126790608</c:v>
                </c:pt>
                <c:pt idx="43">
                  <c:v>0.98817433709234992</c:v>
                </c:pt>
                <c:pt idx="44">
                  <c:v>0.97622676013410548</c:v>
                </c:pt>
                <c:pt idx="45">
                  <c:v>0.9435537945748248</c:v>
                </c:pt>
                <c:pt idx="46">
                  <c:v>0.88162145687290461</c:v>
                </c:pt>
                <c:pt idx="47">
                  <c:v>0.79555013715330691</c:v>
                </c:pt>
                <c:pt idx="48">
                  <c:v>0.69491008838768675</c:v>
                </c:pt>
                <c:pt idx="49">
                  <c:v>0.6274306613837245</c:v>
                </c:pt>
                <c:pt idx="50">
                  <c:v>0.59353855531850053</c:v>
                </c:pt>
                <c:pt idx="51">
                  <c:v>0.56836330387077116</c:v>
                </c:pt>
                <c:pt idx="52">
                  <c:v>0.54416336482779637</c:v>
                </c:pt>
                <c:pt idx="53">
                  <c:v>0.52258457787259982</c:v>
                </c:pt>
                <c:pt idx="54">
                  <c:v>0.502407802499238</c:v>
                </c:pt>
                <c:pt idx="55">
                  <c:v>0.4843035659859799</c:v>
                </c:pt>
                <c:pt idx="56">
                  <c:v>0.46644315757391042</c:v>
                </c:pt>
                <c:pt idx="57">
                  <c:v>0.44980188966778423</c:v>
                </c:pt>
                <c:pt idx="58">
                  <c:v>0.43437976226760144</c:v>
                </c:pt>
                <c:pt idx="59">
                  <c:v>0.42011581834806466</c:v>
                </c:pt>
                <c:pt idx="60">
                  <c:v>0.40652240170679677</c:v>
                </c:pt>
                <c:pt idx="61">
                  <c:v>0.39262419993904307</c:v>
                </c:pt>
                <c:pt idx="62">
                  <c:v>0.37945748247485522</c:v>
                </c:pt>
                <c:pt idx="63">
                  <c:v>0.36647363608655903</c:v>
                </c:pt>
                <c:pt idx="64">
                  <c:v>0.3541603169765315</c:v>
                </c:pt>
                <c:pt idx="65">
                  <c:v>0.34160316976531546</c:v>
                </c:pt>
                <c:pt idx="66">
                  <c:v>0.32898506552880225</c:v>
                </c:pt>
                <c:pt idx="67">
                  <c:v>0.31679366046936908</c:v>
                </c:pt>
                <c:pt idx="68">
                  <c:v>0.30454129838463884</c:v>
                </c:pt>
                <c:pt idx="69">
                  <c:v>0.29259372142639439</c:v>
                </c:pt>
                <c:pt idx="70">
                  <c:v>0.28131667174641872</c:v>
                </c:pt>
                <c:pt idx="71">
                  <c:v>0.27003962206644316</c:v>
                </c:pt>
                <c:pt idx="72">
                  <c:v>0.25888448643706186</c:v>
                </c:pt>
                <c:pt idx="73">
                  <c:v>0.24827796403535507</c:v>
                </c:pt>
                <c:pt idx="74">
                  <c:v>0.23724474245656813</c:v>
                </c:pt>
                <c:pt idx="75">
                  <c:v>0.22645534897896991</c:v>
                </c:pt>
                <c:pt idx="76">
                  <c:v>0.21578786955196594</c:v>
                </c:pt>
                <c:pt idx="77">
                  <c:v>0.20603474550441947</c:v>
                </c:pt>
                <c:pt idx="78">
                  <c:v>0.19658640658335869</c:v>
                </c:pt>
                <c:pt idx="79">
                  <c:v>0.18671136848521797</c:v>
                </c:pt>
                <c:pt idx="80">
                  <c:v>0.17768972874123745</c:v>
                </c:pt>
                <c:pt idx="81">
                  <c:v>0.16933861627552582</c:v>
                </c:pt>
                <c:pt idx="82">
                  <c:v>0.1606217616580311</c:v>
                </c:pt>
                <c:pt idx="83">
                  <c:v>0.15220969216702229</c:v>
                </c:pt>
                <c:pt idx="84">
                  <c:v>0.14404145077720221</c:v>
                </c:pt>
                <c:pt idx="85">
                  <c:v>0.13550746723559903</c:v>
                </c:pt>
                <c:pt idx="86">
                  <c:v>0.12752209692167027</c:v>
                </c:pt>
                <c:pt idx="87">
                  <c:v>0.11935385553185007</c:v>
                </c:pt>
                <c:pt idx="88">
                  <c:v>0.11149039926851578</c:v>
                </c:pt>
                <c:pt idx="89">
                  <c:v>0.10356598597988431</c:v>
                </c:pt>
                <c:pt idx="90">
                  <c:v>9.612922889363007E-2</c:v>
                </c:pt>
                <c:pt idx="91">
                  <c:v>8.8204815604998488E-2</c:v>
                </c:pt>
                <c:pt idx="92">
                  <c:v>8.1804327948796107E-2</c:v>
                </c:pt>
                <c:pt idx="93">
                  <c:v>7.5038098140810749E-2</c:v>
                </c:pt>
                <c:pt idx="94">
                  <c:v>6.8515696434014006E-2</c:v>
                </c:pt>
                <c:pt idx="95">
                  <c:v>6.2054251752514555E-2</c:v>
                </c:pt>
                <c:pt idx="96">
                  <c:v>5.5958549222797971E-2</c:v>
                </c:pt>
                <c:pt idx="97">
                  <c:v>5.0106674794270112E-2</c:v>
                </c:pt>
                <c:pt idx="98">
                  <c:v>4.4681499542822412E-2</c:v>
                </c:pt>
                <c:pt idx="99">
                  <c:v>3.9439195367266033E-2</c:v>
                </c:pt>
                <c:pt idx="100">
                  <c:v>3.4745504419384399E-2</c:v>
                </c:pt>
                <c:pt idx="101">
                  <c:v>3.0356598597988449E-2</c:v>
                </c:pt>
                <c:pt idx="102">
                  <c:v>2.6089606827186973E-2</c:v>
                </c:pt>
                <c:pt idx="103">
                  <c:v>2.2188357208168252E-2</c:v>
                </c:pt>
                <c:pt idx="104">
                  <c:v>1.865284974093262E-2</c:v>
                </c:pt>
                <c:pt idx="105">
                  <c:v>1.5239256324291461E-2</c:v>
                </c:pt>
                <c:pt idx="106">
                  <c:v>1.2313319110027421E-2</c:v>
                </c:pt>
                <c:pt idx="107">
                  <c:v>1.0667479427003967E-2</c:v>
                </c:pt>
                <c:pt idx="108">
                  <c:v>8.1072843645230153E-3</c:v>
                </c:pt>
                <c:pt idx="109">
                  <c:v>6.2176165803108363E-3</c:v>
                </c:pt>
                <c:pt idx="110">
                  <c:v>4.6327339225845643E-3</c:v>
                </c:pt>
                <c:pt idx="111">
                  <c:v>3.2307223407498364E-3</c:v>
                </c:pt>
                <c:pt idx="112">
                  <c:v>2.2554099359951563E-3</c:v>
                </c:pt>
                <c:pt idx="113">
                  <c:v>1.5239256324292016E-3</c:v>
                </c:pt>
                <c:pt idx="114">
                  <c:v>6.0957025297170286E-4</c:v>
                </c:pt>
                <c:pt idx="115">
                  <c:v>1.8287107589143314E-4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Table!$L$18:$L$136</c:f>
              <c:numCache>
                <c:formatCode>????0.00</c:formatCode>
                <c:ptCount val="119"/>
                <c:pt idx="0">
                  <c:v>0.3424570138861659</c:v>
                </c:pt>
                <c:pt idx="1">
                  <c:v>0.35949423175073864</c:v>
                </c:pt>
                <c:pt idx="2">
                  <c:v>0.40911392226098908</c:v>
                </c:pt>
                <c:pt idx="3">
                  <c:v>0.45350276166703163</c:v>
                </c:pt>
                <c:pt idx="4">
                  <c:v>0.48949269394579448</c:v>
                </c:pt>
                <c:pt idx="5">
                  <c:v>0.53301586338857188</c:v>
                </c:pt>
                <c:pt idx="6">
                  <c:v>0.58237770785954923</c:v>
                </c:pt>
                <c:pt idx="7">
                  <c:v>0.63546010498981098</c:v>
                </c:pt>
                <c:pt idx="8">
                  <c:v>0.69474954392834898</c:v>
                </c:pt>
                <c:pt idx="9">
                  <c:v>0.75580720765193676</c:v>
                </c:pt>
                <c:pt idx="10">
                  <c:v>0.83167341936342754</c:v>
                </c:pt>
                <c:pt idx="11">
                  <c:v>0.90805532315346449</c:v>
                </c:pt>
                <c:pt idx="12">
                  <c:v>0.99261511935612545</c:v>
                </c:pt>
                <c:pt idx="13">
                  <c:v>1.0858132530630304</c:v>
                </c:pt>
                <c:pt idx="14">
                  <c:v>1.1845737733296025</c:v>
                </c:pt>
                <c:pt idx="15">
                  <c:v>1.2951959073434656</c:v>
                </c:pt>
                <c:pt idx="16">
                  <c:v>1.4156719196417524</c:v>
                </c:pt>
                <c:pt idx="17">
                  <c:v>1.5504408413832982</c:v>
                </c:pt>
                <c:pt idx="18">
                  <c:v>1.6957267123201858</c:v>
                </c:pt>
                <c:pt idx="19">
                  <c:v>1.8514744996010972</c:v>
                </c:pt>
                <c:pt idx="20">
                  <c:v>2.0258618279691465</c:v>
                </c:pt>
                <c:pt idx="21">
                  <c:v>2.2174519545608411</c:v>
                </c:pt>
                <c:pt idx="22">
                  <c:v>2.4218615234754881</c:v>
                </c:pt>
                <c:pt idx="23">
                  <c:v>2.6690577424083681</c:v>
                </c:pt>
                <c:pt idx="24">
                  <c:v>2.891904173056953</c:v>
                </c:pt>
                <c:pt idx="25">
                  <c:v>3.1847046383413002</c:v>
                </c:pt>
                <c:pt idx="26">
                  <c:v>3.4743371814373303</c:v>
                </c:pt>
                <c:pt idx="27">
                  <c:v>3.7882267920992874</c:v>
                </c:pt>
                <c:pt idx="28">
                  <c:v>4.1463030713861571</c:v>
                </c:pt>
                <c:pt idx="29">
                  <c:v>4.5490810154357577</c:v>
                </c:pt>
                <c:pt idx="30">
                  <c:v>4.9759505002261148</c:v>
                </c:pt>
                <c:pt idx="31">
                  <c:v>5.4464535413652975</c:v>
                </c:pt>
                <c:pt idx="32">
                  <c:v>5.9725624607100576</c:v>
                </c:pt>
                <c:pt idx="33">
                  <c:v>6.5043258449260275</c:v>
                </c:pt>
                <c:pt idx="34">
                  <c:v>6.6939390715824416</c:v>
                </c:pt>
                <c:pt idx="35">
                  <c:v>7.3133263184193931</c:v>
                </c:pt>
                <c:pt idx="36">
                  <c:v>8.1706199390969072</c:v>
                </c:pt>
                <c:pt idx="37">
                  <c:v>9.0540578044557751</c:v>
                </c:pt>
                <c:pt idx="38">
                  <c:v>9.9376138726703935</c:v>
                </c:pt>
                <c:pt idx="39">
                  <c:v>11.086325499145451</c:v>
                </c:pt>
                <c:pt idx="40">
                  <c:v>11.686659816103555</c:v>
                </c:pt>
                <c:pt idx="41">
                  <c:v>13.213307086444964</c:v>
                </c:pt>
                <c:pt idx="42">
                  <c:v>14.338671935824726</c:v>
                </c:pt>
                <c:pt idx="43">
                  <c:v>15.906025528750307</c:v>
                </c:pt>
                <c:pt idx="44">
                  <c:v>17.008709134505189</c:v>
                </c:pt>
                <c:pt idx="45">
                  <c:v>18.566581659240292</c:v>
                </c:pt>
                <c:pt idx="46">
                  <c:v>20.632544876700329</c:v>
                </c:pt>
                <c:pt idx="47">
                  <c:v>22.689502407020189</c:v>
                </c:pt>
                <c:pt idx="48">
                  <c:v>24.728919661397811</c:v>
                </c:pt>
                <c:pt idx="49">
                  <c:v>27.063498012005031</c:v>
                </c:pt>
                <c:pt idx="50">
                  <c:v>29.675039358311096</c:v>
                </c:pt>
                <c:pt idx="51">
                  <c:v>32.44183244676158</c:v>
                </c:pt>
                <c:pt idx="52">
                  <c:v>35.478874951321345</c:v>
                </c:pt>
                <c:pt idx="53">
                  <c:v>38.997869899721714</c:v>
                </c:pt>
                <c:pt idx="54">
                  <c:v>42.640285760372713</c:v>
                </c:pt>
                <c:pt idx="55">
                  <c:v>46.644330410051289</c:v>
                </c:pt>
                <c:pt idx="56">
                  <c:v>51.027549263954285</c:v>
                </c:pt>
                <c:pt idx="57">
                  <c:v>56.137510110529753</c:v>
                </c:pt>
                <c:pt idx="58">
                  <c:v>61.328253187042904</c:v>
                </c:pt>
                <c:pt idx="59">
                  <c:v>67.175525759913612</c:v>
                </c:pt>
                <c:pt idx="60">
                  <c:v>73.504106656715336</c:v>
                </c:pt>
                <c:pt idx="61">
                  <c:v>80.27945323421153</c:v>
                </c:pt>
                <c:pt idx="62">
                  <c:v>87.95171622879171</c:v>
                </c:pt>
                <c:pt idx="63">
                  <c:v>96.251680927605605</c:v>
                </c:pt>
                <c:pt idx="64">
                  <c:v>105.3574738950124</c:v>
                </c:pt>
                <c:pt idx="65">
                  <c:v>115.20318933005011</c:v>
                </c:pt>
                <c:pt idx="66">
                  <c:v>126.04770176531825</c:v>
                </c:pt>
                <c:pt idx="67">
                  <c:v>137.76647678340333</c:v>
                </c:pt>
                <c:pt idx="68">
                  <c:v>150.86897211875336</c:v>
                </c:pt>
                <c:pt idx="69">
                  <c:v>165.02812560876535</c:v>
                </c:pt>
                <c:pt idx="70">
                  <c:v>180.62636631890905</c:v>
                </c:pt>
                <c:pt idx="71">
                  <c:v>197.43426421926046</c:v>
                </c:pt>
                <c:pt idx="72">
                  <c:v>216.15654130962545</c:v>
                </c:pt>
                <c:pt idx="73">
                  <c:v>235.50150419173676</c:v>
                </c:pt>
                <c:pt idx="74">
                  <c:v>257.84670908931793</c:v>
                </c:pt>
                <c:pt idx="75">
                  <c:v>282.70370754071683</c:v>
                </c:pt>
                <c:pt idx="76">
                  <c:v>309.6286324048321</c:v>
                </c:pt>
                <c:pt idx="77">
                  <c:v>338.79690357193476</c:v>
                </c:pt>
                <c:pt idx="78">
                  <c:v>369.80480861018083</c:v>
                </c:pt>
                <c:pt idx="79">
                  <c:v>406.32572224991833</c:v>
                </c:pt>
                <c:pt idx="80">
                  <c:v>444.15669355768591</c:v>
                </c:pt>
                <c:pt idx="81">
                  <c:v>484.47761316106084</c:v>
                </c:pt>
                <c:pt idx="82">
                  <c:v>531.66945577277181</c:v>
                </c:pt>
                <c:pt idx="83">
                  <c:v>581.05909033471539</c:v>
                </c:pt>
                <c:pt idx="84">
                  <c:v>634.90099134916807</c:v>
                </c:pt>
                <c:pt idx="85">
                  <c:v>695.48811605683443</c:v>
                </c:pt>
                <c:pt idx="86">
                  <c:v>760.25056306524448</c:v>
                </c:pt>
                <c:pt idx="87">
                  <c:v>832.29068795255648</c:v>
                </c:pt>
                <c:pt idx="88">
                  <c:v>910.90637260796075</c:v>
                </c:pt>
                <c:pt idx="89">
                  <c:v>995.95574619520062</c:v>
                </c:pt>
                <c:pt idx="90">
                  <c:v>1088.210711050184</c:v>
                </c:pt>
                <c:pt idx="91">
                  <c:v>1191.0758383307768</c:v>
                </c:pt>
                <c:pt idx="92">
                  <c:v>1302.9940572359608</c:v>
                </c:pt>
                <c:pt idx="93">
                  <c:v>1426.8556297328137</c:v>
                </c:pt>
                <c:pt idx="94">
                  <c:v>1558.8537249275921</c:v>
                </c:pt>
                <c:pt idx="95">
                  <c:v>1707.0385808596943</c:v>
                </c:pt>
                <c:pt idx="96">
                  <c:v>1866.4595193133789</c:v>
                </c:pt>
                <c:pt idx="97">
                  <c:v>2041.6892982782849</c:v>
                </c:pt>
                <c:pt idx="98">
                  <c:v>2234.672666512929</c:v>
                </c:pt>
                <c:pt idx="99">
                  <c:v>2445.4208070353161</c:v>
                </c:pt>
                <c:pt idx="100">
                  <c:v>2670.5906552866068</c:v>
                </c:pt>
                <c:pt idx="101">
                  <c:v>2917.5217794757391</c:v>
                </c:pt>
                <c:pt idx="102">
                  <c:v>3209.0260014084147</c:v>
                </c:pt>
                <c:pt idx="103">
                  <c:v>3501.2444015693563</c:v>
                </c:pt>
                <c:pt idx="104">
                  <c:v>3838.0793158966835</c:v>
                </c:pt>
                <c:pt idx="105">
                  <c:v>4196.5823143451462</c:v>
                </c:pt>
                <c:pt idx="106">
                  <c:v>4577.9333149516788</c:v>
                </c:pt>
                <c:pt idx="107">
                  <c:v>5005.7359410516956</c:v>
                </c:pt>
                <c:pt idx="108">
                  <c:v>5477.6018508391544</c:v>
                </c:pt>
                <c:pt idx="109">
                  <c:v>5994.360341845314</c:v>
                </c:pt>
                <c:pt idx="110">
                  <c:v>6577.6683151733032</c:v>
                </c:pt>
                <c:pt idx="111">
                  <c:v>7184.4807995987021</c:v>
                </c:pt>
                <c:pt idx="112">
                  <c:v>7858.1874664303141</c:v>
                </c:pt>
                <c:pt idx="113">
                  <c:v>8596.7341487530648</c:v>
                </c:pt>
                <c:pt idx="114">
                  <c:v>9401.9824901524553</c:v>
                </c:pt>
                <c:pt idx="115">
                  <c:v>10277.283887632115</c:v>
                </c:pt>
                <c:pt idx="116">
                  <c:v>11242.979154568413</c:v>
                </c:pt>
                <c:pt idx="117">
                  <c:v>12298.193822808349</c:v>
                </c:pt>
                <c:pt idx="118">
                  <c:v>13352.989237510539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0471296"/>
        <c:axId val="160489856"/>
      </c:scatterChart>
      <c:scatterChart>
        <c:scatterStyle val="lineMarker"/>
        <c:varyColors val="0"/>
        <c:ser>
          <c:idx val="1"/>
          <c:order val="1"/>
          <c:spPr>
            <a:ln>
              <a:noFill/>
            </a:ln>
          </c:spPr>
          <c:marker>
            <c:symbol val="none"/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0.99932947272173123</c:v>
                </c:pt>
                <c:pt idx="40">
                  <c:v>0.99853703139286798</c:v>
                </c:pt>
                <c:pt idx="41">
                  <c:v>0.99664736360865591</c:v>
                </c:pt>
                <c:pt idx="42">
                  <c:v>0.99341664126790608</c:v>
                </c:pt>
                <c:pt idx="43">
                  <c:v>0.98817433709234992</c:v>
                </c:pt>
                <c:pt idx="44">
                  <c:v>0.97622676013410548</c:v>
                </c:pt>
                <c:pt idx="45">
                  <c:v>0.9435537945748248</c:v>
                </c:pt>
                <c:pt idx="46">
                  <c:v>0.88162145687290461</c:v>
                </c:pt>
                <c:pt idx="47">
                  <c:v>0.79555013715330691</c:v>
                </c:pt>
                <c:pt idx="48">
                  <c:v>0.69491008838768675</c:v>
                </c:pt>
                <c:pt idx="49">
                  <c:v>0.6274306613837245</c:v>
                </c:pt>
                <c:pt idx="50">
                  <c:v>0.59353855531850053</c:v>
                </c:pt>
                <c:pt idx="51">
                  <c:v>0.56836330387077116</c:v>
                </c:pt>
                <c:pt idx="52">
                  <c:v>0.54416336482779637</c:v>
                </c:pt>
                <c:pt idx="53">
                  <c:v>0.52258457787259982</c:v>
                </c:pt>
                <c:pt idx="54">
                  <c:v>0.502407802499238</c:v>
                </c:pt>
                <c:pt idx="55">
                  <c:v>0.4843035659859799</c:v>
                </c:pt>
                <c:pt idx="56">
                  <c:v>0.46644315757391042</c:v>
                </c:pt>
                <c:pt idx="57">
                  <c:v>0.44980188966778423</c:v>
                </c:pt>
                <c:pt idx="58">
                  <c:v>0.43437976226760144</c:v>
                </c:pt>
                <c:pt idx="59">
                  <c:v>0.42011581834806466</c:v>
                </c:pt>
                <c:pt idx="60">
                  <c:v>0.40652240170679677</c:v>
                </c:pt>
                <c:pt idx="61">
                  <c:v>0.39262419993904307</c:v>
                </c:pt>
                <c:pt idx="62">
                  <c:v>0.37945748247485522</c:v>
                </c:pt>
                <c:pt idx="63">
                  <c:v>0.36647363608655903</c:v>
                </c:pt>
                <c:pt idx="64">
                  <c:v>0.3541603169765315</c:v>
                </c:pt>
                <c:pt idx="65">
                  <c:v>0.34160316976531546</c:v>
                </c:pt>
                <c:pt idx="66">
                  <c:v>0.32898506552880225</c:v>
                </c:pt>
                <c:pt idx="67">
                  <c:v>0.31679366046936908</c:v>
                </c:pt>
                <c:pt idx="68">
                  <c:v>0.30454129838463884</c:v>
                </c:pt>
                <c:pt idx="69">
                  <c:v>0.29259372142639439</c:v>
                </c:pt>
                <c:pt idx="70">
                  <c:v>0.28131667174641872</c:v>
                </c:pt>
                <c:pt idx="71">
                  <c:v>0.27003962206644316</c:v>
                </c:pt>
                <c:pt idx="72">
                  <c:v>0.25888448643706186</c:v>
                </c:pt>
                <c:pt idx="73">
                  <c:v>0.24827796403535507</c:v>
                </c:pt>
                <c:pt idx="74">
                  <c:v>0.23724474245656813</c:v>
                </c:pt>
                <c:pt idx="75">
                  <c:v>0.22645534897896991</c:v>
                </c:pt>
                <c:pt idx="76">
                  <c:v>0.21578786955196594</c:v>
                </c:pt>
                <c:pt idx="77">
                  <c:v>0.20603474550441947</c:v>
                </c:pt>
                <c:pt idx="78">
                  <c:v>0.19658640658335869</c:v>
                </c:pt>
                <c:pt idx="79">
                  <c:v>0.18671136848521797</c:v>
                </c:pt>
                <c:pt idx="80">
                  <c:v>0.17768972874123745</c:v>
                </c:pt>
                <c:pt idx="81">
                  <c:v>0.16933861627552582</c:v>
                </c:pt>
                <c:pt idx="82">
                  <c:v>0.1606217616580311</c:v>
                </c:pt>
                <c:pt idx="83">
                  <c:v>0.15220969216702229</c:v>
                </c:pt>
                <c:pt idx="84">
                  <c:v>0.14404145077720221</c:v>
                </c:pt>
                <c:pt idx="85">
                  <c:v>0.13550746723559903</c:v>
                </c:pt>
                <c:pt idx="86">
                  <c:v>0.12752209692167027</c:v>
                </c:pt>
                <c:pt idx="87">
                  <c:v>0.11935385553185007</c:v>
                </c:pt>
                <c:pt idx="88">
                  <c:v>0.11149039926851578</c:v>
                </c:pt>
                <c:pt idx="89">
                  <c:v>0.10356598597988431</c:v>
                </c:pt>
                <c:pt idx="90">
                  <c:v>9.612922889363007E-2</c:v>
                </c:pt>
                <c:pt idx="91">
                  <c:v>8.8204815604998488E-2</c:v>
                </c:pt>
                <c:pt idx="92">
                  <c:v>8.1804327948796107E-2</c:v>
                </c:pt>
                <c:pt idx="93">
                  <c:v>7.5038098140810749E-2</c:v>
                </c:pt>
                <c:pt idx="94">
                  <c:v>6.8515696434014006E-2</c:v>
                </c:pt>
                <c:pt idx="95">
                  <c:v>6.2054251752514555E-2</c:v>
                </c:pt>
                <c:pt idx="96">
                  <c:v>5.5958549222797971E-2</c:v>
                </c:pt>
                <c:pt idx="97">
                  <c:v>5.0106674794270112E-2</c:v>
                </c:pt>
                <c:pt idx="98">
                  <c:v>4.4681499542822412E-2</c:v>
                </c:pt>
                <c:pt idx="99">
                  <c:v>3.9439195367266033E-2</c:v>
                </c:pt>
                <c:pt idx="100">
                  <c:v>3.4745504419384399E-2</c:v>
                </c:pt>
                <c:pt idx="101">
                  <c:v>3.0356598597988449E-2</c:v>
                </c:pt>
                <c:pt idx="102">
                  <c:v>2.6089606827186973E-2</c:v>
                </c:pt>
                <c:pt idx="103">
                  <c:v>2.2188357208168252E-2</c:v>
                </c:pt>
                <c:pt idx="104">
                  <c:v>1.865284974093262E-2</c:v>
                </c:pt>
                <c:pt idx="105">
                  <c:v>1.5239256324291461E-2</c:v>
                </c:pt>
                <c:pt idx="106">
                  <c:v>1.2313319110027421E-2</c:v>
                </c:pt>
                <c:pt idx="107">
                  <c:v>1.0667479427003967E-2</c:v>
                </c:pt>
                <c:pt idx="108">
                  <c:v>8.1072843645230153E-3</c:v>
                </c:pt>
                <c:pt idx="109">
                  <c:v>6.2176165803108363E-3</c:v>
                </c:pt>
                <c:pt idx="110">
                  <c:v>4.6327339225845643E-3</c:v>
                </c:pt>
                <c:pt idx="111">
                  <c:v>3.2307223407498364E-3</c:v>
                </c:pt>
                <c:pt idx="112">
                  <c:v>2.2554099359951563E-3</c:v>
                </c:pt>
                <c:pt idx="113">
                  <c:v>1.5239256324292016E-3</c:v>
                </c:pt>
                <c:pt idx="114">
                  <c:v>6.0957025297170286E-4</c:v>
                </c:pt>
                <c:pt idx="115">
                  <c:v>1.8287107589143314E-4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Table!$O$18:$O$136</c:f>
              <c:numCache>
                <c:formatCode>????0.00</c:formatCode>
                <c:ptCount val="119"/>
                <c:pt idx="0">
                  <c:v>0.73457102935685525</c:v>
                </c:pt>
                <c:pt idx="1">
                  <c:v>0.77111589822123272</c:v>
                </c:pt>
                <c:pt idx="2">
                  <c:v>0.8775502408000625</c:v>
                </c:pt>
                <c:pt idx="3">
                  <c:v>0.97276439654017954</c:v>
                </c:pt>
                <c:pt idx="4">
                  <c:v>1.0499628784766077</c:v>
                </c:pt>
                <c:pt idx="5">
                  <c:v>1.1433201702886571</c:v>
                </c:pt>
                <c:pt idx="6">
                  <c:v>1.2492014325601657</c:v>
                </c:pt>
                <c:pt idx="7">
                  <c:v>1.3630632882664329</c:v>
                </c:pt>
                <c:pt idx="8">
                  <c:v>1.4902392619655707</c:v>
                </c:pt>
                <c:pt idx="9">
                  <c:v>1.6212080816214862</c:v>
                </c:pt>
                <c:pt idx="10">
                  <c:v>1.7839412684758207</c:v>
                </c:pt>
                <c:pt idx="11">
                  <c:v>1.9477806159447975</c:v>
                </c:pt>
                <c:pt idx="12">
                  <c:v>2.1291615601804494</c:v>
                </c:pt>
                <c:pt idx="13">
                  <c:v>2.3290717568919574</c:v>
                </c:pt>
                <c:pt idx="14">
                  <c:v>2.5409132847052822</c:v>
                </c:pt>
                <c:pt idx="15">
                  <c:v>2.7781979994497337</c:v>
                </c:pt>
                <c:pt idx="16">
                  <c:v>3.0366193042508636</c:v>
                </c:pt>
                <c:pt idx="17">
                  <c:v>3.325698930466106</c:v>
                </c:pt>
                <c:pt idx="18">
                  <c:v>3.6373374352642345</c:v>
                </c:pt>
                <c:pt idx="19">
                  <c:v>3.9714167730611272</c:v>
                </c:pt>
                <c:pt idx="20">
                  <c:v>4.3454779664717869</c:v>
                </c:pt>
                <c:pt idx="21">
                  <c:v>4.7564391989722035</c:v>
                </c:pt>
                <c:pt idx="22">
                  <c:v>5.1948981627530859</c:v>
                </c:pt>
                <c:pt idx="23">
                  <c:v>5.7251345826005329</c:v>
                </c:pt>
                <c:pt idx="24">
                  <c:v>6.2031406543478189</c:v>
                </c:pt>
                <c:pt idx="25">
                  <c:v>6.8311982804403701</c:v>
                </c:pt>
                <c:pt idx="26">
                  <c:v>7.4524607066437811</c:v>
                </c:pt>
                <c:pt idx="27">
                  <c:v>8.1257545948075673</c:v>
                </c:pt>
                <c:pt idx="28">
                  <c:v>8.8938289819522911</c:v>
                </c:pt>
                <c:pt idx="29">
                  <c:v>9.7577885358982375</c:v>
                </c:pt>
                <c:pt idx="30">
                  <c:v>10.673424496409515</c:v>
                </c:pt>
                <c:pt idx="31">
                  <c:v>11.682654528883093</c:v>
                </c:pt>
                <c:pt idx="32">
                  <c:v>12.811159289382363</c:v>
                </c:pt>
                <c:pt idx="33">
                  <c:v>13.95179288915922</c:v>
                </c:pt>
                <c:pt idx="34">
                  <c:v>14.358513667058006</c:v>
                </c:pt>
                <c:pt idx="35">
                  <c:v>15.68710064011024</c:v>
                </c:pt>
                <c:pt idx="36">
                  <c:v>17.525997295360163</c:v>
                </c:pt>
                <c:pt idx="37">
                  <c:v>19.420973411531051</c:v>
                </c:pt>
                <c:pt idx="38">
                  <c:v>21.31620307308107</c:v>
                </c:pt>
                <c:pt idx="39">
                  <c:v>23.780191975858973</c:v>
                </c:pt>
                <c:pt idx="40">
                  <c:v>25.067910373452502</c:v>
                </c:pt>
                <c:pt idx="41">
                  <c:v>28.342572042996494</c:v>
                </c:pt>
                <c:pt idx="42">
                  <c:v>30.756482058826101</c:v>
                </c:pt>
                <c:pt idx="43">
                  <c:v>34.118458877628292</c:v>
                </c:pt>
                <c:pt idx="44">
                  <c:v>36.483717577231211</c:v>
                </c:pt>
                <c:pt idx="45">
                  <c:v>39.825357484427919</c:v>
                </c:pt>
                <c:pt idx="46">
                  <c:v>44.256853017375228</c:v>
                </c:pt>
                <c:pt idx="47">
                  <c:v>48.669031332089638</c:v>
                </c:pt>
                <c:pt idx="48">
                  <c:v>53.043585717284024</c:v>
                </c:pt>
                <c:pt idx="49">
                  <c:v>58.051261287012082</c:v>
                </c:pt>
                <c:pt idx="50">
                  <c:v>63.653023076600384</c:v>
                </c:pt>
                <c:pt idx="51">
                  <c:v>69.587800186103792</c:v>
                </c:pt>
                <c:pt idx="52">
                  <c:v>76.102262872847163</c:v>
                </c:pt>
                <c:pt idx="53">
                  <c:v>83.650514585417667</c:v>
                </c:pt>
                <c:pt idx="54">
                  <c:v>91.463504419503906</c:v>
                </c:pt>
                <c:pt idx="55">
                  <c:v>100.05218878174881</c:v>
                </c:pt>
                <c:pt idx="56">
                  <c:v>109.45420262538458</c:v>
                </c:pt>
                <c:pt idx="57">
                  <c:v>120.41507960216593</c:v>
                </c:pt>
                <c:pt idx="58">
                  <c:v>131.54923463544168</c:v>
                </c:pt>
                <c:pt idx="59">
                  <c:v>144.09164684666155</c:v>
                </c:pt>
                <c:pt idx="60">
                  <c:v>157.66646644512085</c:v>
                </c:pt>
                <c:pt idx="61">
                  <c:v>172.19959938698315</c:v>
                </c:pt>
                <c:pt idx="62">
                  <c:v>188.65661996737819</c:v>
                </c:pt>
                <c:pt idx="63">
                  <c:v>206.46006204977607</c:v>
                </c:pt>
                <c:pt idx="64">
                  <c:v>225.99200749680912</c:v>
                </c:pt>
                <c:pt idx="65">
                  <c:v>247.11108822404574</c:v>
                </c:pt>
                <c:pt idx="66">
                  <c:v>270.37259065919835</c:v>
                </c:pt>
                <c:pt idx="67">
                  <c:v>295.50938820978837</c:v>
                </c:pt>
                <c:pt idx="68">
                  <c:v>323.61426880899478</c:v>
                </c:pt>
                <c:pt idx="69">
                  <c:v>353.98568341648513</c:v>
                </c:pt>
                <c:pt idx="70">
                  <c:v>387.44394319800318</c:v>
                </c:pt>
                <c:pt idx="71">
                  <c:v>423.49692024723402</c:v>
                </c:pt>
                <c:pt idx="72">
                  <c:v>463.65624476539136</c:v>
                </c:pt>
                <c:pt idx="73">
                  <c:v>505.15123164250707</c:v>
                </c:pt>
                <c:pt idx="74">
                  <c:v>553.0817440783311</c:v>
                </c:pt>
                <c:pt idx="75">
                  <c:v>606.40005907489672</c:v>
                </c:pt>
                <c:pt idx="76">
                  <c:v>664.15408066244561</c:v>
                </c:pt>
                <c:pt idx="77">
                  <c:v>726.72008488188499</c:v>
                </c:pt>
                <c:pt idx="78">
                  <c:v>793.23210770094568</c:v>
                </c:pt>
                <c:pt idx="79">
                  <c:v>871.56954579562068</c:v>
                </c:pt>
                <c:pt idx="80">
                  <c:v>952.71706039829689</c:v>
                </c:pt>
                <c:pt idx="81">
                  <c:v>1039.205519435995</c:v>
                </c:pt>
                <c:pt idx="82">
                  <c:v>1140.4321230647188</c:v>
                </c:pt>
                <c:pt idx="83">
                  <c:v>1246.3729951409598</c:v>
                </c:pt>
                <c:pt idx="84">
                  <c:v>1361.8639883079541</c:v>
                </c:pt>
                <c:pt idx="85">
                  <c:v>1491.8235007654107</c:v>
                </c:pt>
                <c:pt idx="86">
                  <c:v>1630.739088514038</c:v>
                </c:pt>
                <c:pt idx="87">
                  <c:v>1785.2653109235448</c:v>
                </c:pt>
                <c:pt idx="88">
                  <c:v>1953.8961231401993</c:v>
                </c:pt>
                <c:pt idx="89">
                  <c:v>2136.3272119159178</c:v>
                </c:pt>
                <c:pt idx="90">
                  <c:v>2334.2143094169546</c:v>
                </c:pt>
                <c:pt idx="91">
                  <c:v>2554.8602280797445</c:v>
                </c:pt>
                <c:pt idx="92">
                  <c:v>2794.9250476961838</c:v>
                </c:pt>
                <c:pt idx="93">
                  <c:v>3060.6083863852718</c:v>
                </c:pt>
                <c:pt idx="94">
                  <c:v>3343.7445837142695</c:v>
                </c:pt>
                <c:pt idx="95">
                  <c:v>3661.6014175454625</c:v>
                </c:pt>
                <c:pt idx="96">
                  <c:v>4003.5596724868706</c:v>
                </c:pt>
                <c:pt idx="97">
                  <c:v>4379.4279242348457</c:v>
                </c:pt>
                <c:pt idx="98">
                  <c:v>4793.377663047896</c:v>
                </c:pt>
                <c:pt idx="99">
                  <c:v>5245.4328765236296</c:v>
                </c:pt>
                <c:pt idx="100">
                  <c:v>5728.4226840124556</c:v>
                </c:pt>
                <c:pt idx="101">
                  <c:v>6258.0904750659365</c:v>
                </c:pt>
                <c:pt idx="102">
                  <c:v>6883.3676563887075</c:v>
                </c:pt>
                <c:pt idx="103">
                  <c:v>7510.176751543022</c:v>
                </c:pt>
                <c:pt idx="104">
                  <c:v>8232.6883652867527</c:v>
                </c:pt>
                <c:pt idx="105">
                  <c:v>9001.6780659484066</c:v>
                </c:pt>
                <c:pt idx="106">
                  <c:v>9819.6767802481336</c:v>
                </c:pt>
                <c:pt idx="107">
                  <c:v>10737.31433087022</c:v>
                </c:pt>
                <c:pt idx="108">
                  <c:v>11749.467719517706</c:v>
                </c:pt>
                <c:pt idx="109">
                  <c:v>12857.915791173991</c:v>
                </c:pt>
                <c:pt idx="110">
                  <c:v>14109.112645159381</c:v>
                </c:pt>
                <c:pt idx="111">
                  <c:v>15410.726725865945</c:v>
                </c:pt>
                <c:pt idx="112">
                  <c:v>16855.828971322</c:v>
                </c:pt>
                <c:pt idx="113">
                  <c:v>18440.013189088517</c:v>
                </c:pt>
                <c:pt idx="114">
                  <c:v>20167.27260864963</c:v>
                </c:pt>
                <c:pt idx="115">
                  <c:v>22044.795983766875</c:v>
                </c:pt>
                <c:pt idx="116">
                  <c:v>24116.214402763653</c:v>
                </c:pt>
                <c:pt idx="117">
                  <c:v>26379.652129576043</c:v>
                </c:pt>
                <c:pt idx="118">
                  <c:v>28642.190556650665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218944"/>
        <c:axId val="160491776"/>
      </c:scatterChart>
      <c:valAx>
        <c:axId val="160471296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Wetting Phase Saturation (1- Hg), fraction pore space</a:t>
                </a:r>
              </a:p>
            </c:rich>
          </c:tx>
          <c:layout>
            <c:manualLayout>
              <c:xMode val="edge"/>
              <c:yMode val="edge"/>
              <c:x val="0.20890446913314276"/>
              <c:y val="0.9364548494983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50"/>
            </a:pPr>
            <a:endParaRPr lang="en-US"/>
          </a:p>
        </c:txPr>
        <c:crossAx val="160489856"/>
        <c:crossesAt val="0"/>
        <c:crossBetween val="midCat"/>
        <c:majorUnit val="0.2"/>
        <c:minorUnit val="0.1"/>
      </c:valAx>
      <c:valAx>
        <c:axId val="160489856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50" b="0"/>
                  <a:t>Equivalent </a:t>
                </a:r>
                <a:r>
                  <a:rPr lang="en-US" sz="600" b="0"/>
                  <a:t>Gas-Water</a:t>
                </a:r>
                <a:r>
                  <a:rPr lang="en-US" sz="550" b="0"/>
                  <a:t> Capillary Pressure, psi.</a:t>
                </a:r>
              </a:p>
            </c:rich>
          </c:tx>
          <c:layout>
            <c:manualLayout>
              <c:xMode val="edge"/>
              <c:yMode val="edge"/>
              <c:x val="1.7123287671232879E-2"/>
              <c:y val="0.22742474916387959"/>
            </c:manualLayout>
          </c:layout>
          <c:overlay val="0"/>
          <c:spPr>
            <a:noFill/>
            <a:ln w="25400">
              <a:noFill/>
            </a:ln>
          </c:spPr>
        </c:title>
        <c:numFmt formatCode="????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50"/>
            </a:pPr>
            <a:endParaRPr lang="en-US"/>
          </a:p>
        </c:txPr>
        <c:crossAx val="160471296"/>
        <c:crossesAt val="0"/>
        <c:crossBetween val="midCat"/>
        <c:majorUnit val="40"/>
        <c:minorUnit val="20"/>
      </c:valAx>
      <c:valAx>
        <c:axId val="160491776"/>
        <c:scaling>
          <c:orientation val="minMax"/>
          <c:max val="429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1"/>
                  <a:t>Estimated Height Above Free Water, ft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61218944"/>
        <c:crosses val="max"/>
        <c:crossBetween val="midCat"/>
        <c:majorUnit val="85.8"/>
        <c:minorUnit val="42.9"/>
      </c:valAx>
      <c:valAx>
        <c:axId val="161218944"/>
        <c:scaling>
          <c:orientation val="minMax"/>
        </c:scaling>
        <c:delete val="1"/>
        <c:axPos val="b"/>
        <c:numFmt formatCode="0.000" sourceLinked="1"/>
        <c:majorTickMark val="out"/>
        <c:minorTickMark val="none"/>
        <c:tickLblPos val="none"/>
        <c:crossAx val="160491776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chemeClr val="accent2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 sz="575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1199" r="0.75000000000001199" t="1" header="0.5" footer="0.5"/>
    <c:pageSetup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9031174022717789"/>
          <c:y val="7.0234113712374549E-2"/>
          <c:w val="0.73356525323931165"/>
          <c:h val="0.79152731326644366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FF00"/>
              </a:solidFill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</a:ln>
            </c:spPr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0.99932947272173123</c:v>
                </c:pt>
                <c:pt idx="40">
                  <c:v>0.99853703139286798</c:v>
                </c:pt>
                <c:pt idx="41">
                  <c:v>0.99664736360865591</c:v>
                </c:pt>
                <c:pt idx="42">
                  <c:v>0.99341664126790608</c:v>
                </c:pt>
                <c:pt idx="43">
                  <c:v>0.98817433709234992</c:v>
                </c:pt>
                <c:pt idx="44">
                  <c:v>0.97622676013410548</c:v>
                </c:pt>
                <c:pt idx="45">
                  <c:v>0.9435537945748248</c:v>
                </c:pt>
                <c:pt idx="46">
                  <c:v>0.88162145687290461</c:v>
                </c:pt>
                <c:pt idx="47">
                  <c:v>0.79555013715330691</c:v>
                </c:pt>
                <c:pt idx="48">
                  <c:v>0.69491008838768675</c:v>
                </c:pt>
                <c:pt idx="49">
                  <c:v>0.6274306613837245</c:v>
                </c:pt>
                <c:pt idx="50">
                  <c:v>0.59353855531850053</c:v>
                </c:pt>
                <c:pt idx="51">
                  <c:v>0.56836330387077116</c:v>
                </c:pt>
                <c:pt idx="52">
                  <c:v>0.54416336482779637</c:v>
                </c:pt>
                <c:pt idx="53">
                  <c:v>0.52258457787259982</c:v>
                </c:pt>
                <c:pt idx="54">
                  <c:v>0.502407802499238</c:v>
                </c:pt>
                <c:pt idx="55">
                  <c:v>0.4843035659859799</c:v>
                </c:pt>
                <c:pt idx="56">
                  <c:v>0.46644315757391042</c:v>
                </c:pt>
                <c:pt idx="57">
                  <c:v>0.44980188966778423</c:v>
                </c:pt>
                <c:pt idx="58">
                  <c:v>0.43437976226760144</c:v>
                </c:pt>
                <c:pt idx="59">
                  <c:v>0.42011581834806466</c:v>
                </c:pt>
                <c:pt idx="60">
                  <c:v>0.40652240170679677</c:v>
                </c:pt>
                <c:pt idx="61">
                  <c:v>0.39262419993904307</c:v>
                </c:pt>
                <c:pt idx="62">
                  <c:v>0.37945748247485522</c:v>
                </c:pt>
                <c:pt idx="63">
                  <c:v>0.36647363608655903</c:v>
                </c:pt>
                <c:pt idx="64">
                  <c:v>0.3541603169765315</c:v>
                </c:pt>
                <c:pt idx="65">
                  <c:v>0.34160316976531546</c:v>
                </c:pt>
                <c:pt idx="66">
                  <c:v>0.32898506552880225</c:v>
                </c:pt>
                <c:pt idx="67">
                  <c:v>0.31679366046936908</c:v>
                </c:pt>
                <c:pt idx="68">
                  <c:v>0.30454129838463884</c:v>
                </c:pt>
                <c:pt idx="69">
                  <c:v>0.29259372142639439</c:v>
                </c:pt>
                <c:pt idx="70">
                  <c:v>0.28131667174641872</c:v>
                </c:pt>
                <c:pt idx="71">
                  <c:v>0.27003962206644316</c:v>
                </c:pt>
                <c:pt idx="72">
                  <c:v>0.25888448643706186</c:v>
                </c:pt>
                <c:pt idx="73">
                  <c:v>0.24827796403535507</c:v>
                </c:pt>
                <c:pt idx="74">
                  <c:v>0.23724474245656813</c:v>
                </c:pt>
                <c:pt idx="75">
                  <c:v>0.22645534897896991</c:v>
                </c:pt>
                <c:pt idx="76">
                  <c:v>0.21578786955196594</c:v>
                </c:pt>
                <c:pt idx="77">
                  <c:v>0.20603474550441947</c:v>
                </c:pt>
                <c:pt idx="78">
                  <c:v>0.19658640658335869</c:v>
                </c:pt>
                <c:pt idx="79">
                  <c:v>0.18671136848521797</c:v>
                </c:pt>
                <c:pt idx="80">
                  <c:v>0.17768972874123745</c:v>
                </c:pt>
                <c:pt idx="81">
                  <c:v>0.16933861627552582</c:v>
                </c:pt>
                <c:pt idx="82">
                  <c:v>0.1606217616580311</c:v>
                </c:pt>
                <c:pt idx="83">
                  <c:v>0.15220969216702229</c:v>
                </c:pt>
                <c:pt idx="84">
                  <c:v>0.14404145077720221</c:v>
                </c:pt>
                <c:pt idx="85">
                  <c:v>0.13550746723559903</c:v>
                </c:pt>
                <c:pt idx="86">
                  <c:v>0.12752209692167027</c:v>
                </c:pt>
                <c:pt idx="87">
                  <c:v>0.11935385553185007</c:v>
                </c:pt>
                <c:pt idx="88">
                  <c:v>0.11149039926851578</c:v>
                </c:pt>
                <c:pt idx="89">
                  <c:v>0.10356598597988431</c:v>
                </c:pt>
                <c:pt idx="90">
                  <c:v>9.612922889363007E-2</c:v>
                </c:pt>
                <c:pt idx="91">
                  <c:v>8.8204815604998488E-2</c:v>
                </c:pt>
                <c:pt idx="92">
                  <c:v>8.1804327948796107E-2</c:v>
                </c:pt>
                <c:pt idx="93">
                  <c:v>7.5038098140810749E-2</c:v>
                </c:pt>
                <c:pt idx="94">
                  <c:v>6.8515696434014006E-2</c:v>
                </c:pt>
                <c:pt idx="95">
                  <c:v>6.2054251752514555E-2</c:v>
                </c:pt>
                <c:pt idx="96">
                  <c:v>5.5958549222797971E-2</c:v>
                </c:pt>
                <c:pt idx="97">
                  <c:v>5.0106674794270112E-2</c:v>
                </c:pt>
                <c:pt idx="98">
                  <c:v>4.4681499542822412E-2</c:v>
                </c:pt>
                <c:pt idx="99">
                  <c:v>3.9439195367266033E-2</c:v>
                </c:pt>
                <c:pt idx="100">
                  <c:v>3.4745504419384399E-2</c:v>
                </c:pt>
                <c:pt idx="101">
                  <c:v>3.0356598597988449E-2</c:v>
                </c:pt>
                <c:pt idx="102">
                  <c:v>2.6089606827186973E-2</c:v>
                </c:pt>
                <c:pt idx="103">
                  <c:v>2.2188357208168252E-2</c:v>
                </c:pt>
                <c:pt idx="104">
                  <c:v>1.865284974093262E-2</c:v>
                </c:pt>
                <c:pt idx="105">
                  <c:v>1.5239256324291461E-2</c:v>
                </c:pt>
                <c:pt idx="106">
                  <c:v>1.2313319110027421E-2</c:v>
                </c:pt>
                <c:pt idx="107">
                  <c:v>1.0667479427003967E-2</c:v>
                </c:pt>
                <c:pt idx="108">
                  <c:v>8.1072843645230153E-3</c:v>
                </c:pt>
                <c:pt idx="109">
                  <c:v>6.2176165803108363E-3</c:v>
                </c:pt>
                <c:pt idx="110">
                  <c:v>4.6327339225845643E-3</c:v>
                </c:pt>
                <c:pt idx="111">
                  <c:v>3.2307223407498364E-3</c:v>
                </c:pt>
                <c:pt idx="112">
                  <c:v>2.2554099359951563E-3</c:v>
                </c:pt>
                <c:pt idx="113">
                  <c:v>1.5239256324292016E-3</c:v>
                </c:pt>
                <c:pt idx="114">
                  <c:v>6.0957025297170286E-4</c:v>
                </c:pt>
                <c:pt idx="115">
                  <c:v>1.8287107589143314E-4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Table!$K$18:$K$136</c:f>
              <c:numCache>
                <c:formatCode>??0.000</c:formatCode>
                <c:ptCount val="119"/>
                <c:pt idx="0">
                  <c:v>4.0655296452381841E-3</c:v>
                </c:pt>
                <c:pt idx="1">
                  <c:v>4.2677895245578886E-3</c:v>
                </c:pt>
                <c:pt idx="2">
                  <c:v>4.8568570996901737E-3</c:v>
                </c:pt>
                <c:pt idx="3">
                  <c:v>5.3838258438110628E-3</c:v>
                </c:pt>
                <c:pt idx="4">
                  <c:v>5.8110857061483018E-3</c:v>
                </c:pt>
                <c:pt idx="5">
                  <c:v>6.327777519863507E-3</c:v>
                </c:pt>
                <c:pt idx="6">
                  <c:v>6.9137840371868821E-3</c:v>
                </c:pt>
                <c:pt idx="7">
                  <c:v>7.5439596517097645E-3</c:v>
                </c:pt>
                <c:pt idx="8">
                  <c:v>8.2478230911494626E-3</c:v>
                </c:pt>
                <c:pt idx="9">
                  <c:v>8.9726782755135438E-3</c:v>
                </c:pt>
                <c:pt idx="10">
                  <c:v>9.8733353515210679E-3</c:v>
                </c:pt>
                <c:pt idx="11">
                  <c:v>1.078011454314641E-2</c:v>
                </c:pt>
                <c:pt idx="12">
                  <c:v>1.1783978807323786E-2</c:v>
                </c:pt>
                <c:pt idx="13">
                  <c:v>1.2890394386805079E-2</c:v>
                </c:pt>
                <c:pt idx="14">
                  <c:v>1.406284467002912E-2</c:v>
                </c:pt>
                <c:pt idx="15">
                  <c:v>1.5376111874427412E-2</c:v>
                </c:pt>
                <c:pt idx="16">
                  <c:v>1.6806360868251716E-2</c:v>
                </c:pt>
                <c:pt idx="17">
                  <c:v>1.8406290273637368E-2</c:v>
                </c:pt>
                <c:pt idx="18">
                  <c:v>2.0131073213911749E-2</c:v>
                </c:pt>
                <c:pt idx="19">
                  <c:v>2.1980056358351811E-2</c:v>
                </c:pt>
                <c:pt idx="20">
                  <c:v>2.405032160183097E-2</c:v>
                </c:pt>
                <c:pt idx="21">
                  <c:v>2.6324812436620486E-2</c:v>
                </c:pt>
                <c:pt idx="22">
                  <c:v>2.8751491197736748E-2</c:v>
                </c:pt>
                <c:pt idx="23">
                  <c:v>3.1686118072093809E-2</c:v>
                </c:pt>
                <c:pt idx="24">
                  <c:v>3.4331672794002621E-2</c:v>
                </c:pt>
                <c:pt idx="25">
                  <c:v>3.7807697297763364E-2</c:v>
                </c:pt>
                <c:pt idx="26">
                  <c:v>4.1246113339591162E-2</c:v>
                </c:pt>
                <c:pt idx="27">
                  <c:v>4.4972500785995309E-2</c:v>
                </c:pt>
                <c:pt idx="28">
                  <c:v>4.9223456875863152E-2</c:v>
                </c:pt>
                <c:pt idx="29">
                  <c:v>5.4005095462848124E-2</c:v>
                </c:pt>
                <c:pt idx="30">
                  <c:v>5.9072740377954513E-2</c:v>
                </c:pt>
                <c:pt idx="31">
                  <c:v>6.4658387581436536E-2</c:v>
                </c:pt>
                <c:pt idx="32">
                  <c:v>7.0904168282343222E-2</c:v>
                </c:pt>
                <c:pt idx="33">
                  <c:v>7.7217076808435883E-2</c:v>
                </c:pt>
                <c:pt idx="34">
                  <c:v>7.946809858005352E-2</c:v>
                </c:pt>
                <c:pt idx="35">
                  <c:v>8.6821246892954257E-2</c:v>
                </c:pt>
                <c:pt idx="36">
                  <c:v>9.699873629516155E-2</c:v>
                </c:pt>
                <c:pt idx="37">
                  <c:v>0.10748660100724568</c:v>
                </c:pt>
                <c:pt idx="38">
                  <c:v>0.11797586898220573</c:v>
                </c:pt>
                <c:pt idx="39">
                  <c:v>0.13161297081366796</c:v>
                </c:pt>
                <c:pt idx="40">
                  <c:v>0.13873992942067809</c:v>
                </c:pt>
                <c:pt idx="41">
                  <c:v>0.15686375075802719</c:v>
                </c:pt>
                <c:pt idx="42">
                  <c:v>0.17022368783434369</c:v>
                </c:pt>
                <c:pt idx="43">
                  <c:v>0.18883076036674523</c:v>
                </c:pt>
                <c:pt idx="44">
                  <c:v>0.20192143366802204</c:v>
                </c:pt>
                <c:pt idx="45">
                  <c:v>0.22041595028177119</c:v>
                </c:pt>
                <c:pt idx="46">
                  <c:v>0.24494234152498684</c:v>
                </c:pt>
                <c:pt idx="47">
                  <c:v>0.2693618204067687</c:v>
                </c:pt>
                <c:pt idx="48">
                  <c:v>0.29357306728004362</c:v>
                </c:pt>
                <c:pt idx="49">
                  <c:v>0.32128836324031224</c:v>
                </c:pt>
                <c:pt idx="50">
                  <c:v>0.3522916668161058</c:v>
                </c:pt>
                <c:pt idx="51">
                  <c:v>0.38513806466233186</c:v>
                </c:pt>
                <c:pt idx="52">
                  <c:v>0.42119276886015672</c:v>
                </c:pt>
                <c:pt idx="53">
                  <c:v>0.46296904355757235</c:v>
                </c:pt>
                <c:pt idx="54">
                  <c:v>0.50621052806892408</c:v>
                </c:pt>
                <c:pt idx="55">
                  <c:v>0.55374514282070908</c:v>
                </c:pt>
                <c:pt idx="56">
                  <c:v>0.60578118083286381</c:v>
                </c:pt>
                <c:pt idx="57">
                  <c:v>0.66644484507501189</c:v>
                </c:pt>
                <c:pt idx="58">
                  <c:v>0.72806752763859284</c:v>
                </c:pt>
                <c:pt idx="59">
                  <c:v>0.79748429828384537</c:v>
                </c:pt>
                <c:pt idx="60">
                  <c:v>0.87261499266287157</c:v>
                </c:pt>
                <c:pt idx="61">
                  <c:v>0.95304953262160075</c:v>
                </c:pt>
                <c:pt idx="62">
                  <c:v>1.0441319499345598</c:v>
                </c:pt>
                <c:pt idx="63">
                  <c:v>1.1426662218846004</c:v>
                </c:pt>
                <c:pt idx="64">
                  <c:v>1.2507670046143688</c:v>
                </c:pt>
                <c:pt idx="65">
                  <c:v>1.3676518875533714</c:v>
                </c:pt>
                <c:pt idx="66">
                  <c:v>1.4963941384228254</c:v>
                </c:pt>
                <c:pt idx="67">
                  <c:v>1.6355153282657593</c:v>
                </c:pt>
                <c:pt idx="68">
                  <c:v>1.7910635607518581</c:v>
                </c:pt>
                <c:pt idx="69">
                  <c:v>1.9591560685147629</c:v>
                </c:pt>
                <c:pt idx="70">
                  <c:v>2.1443329153867903</c:v>
                </c:pt>
                <c:pt idx="71">
                  <c:v>2.3438703884628405</c:v>
                </c:pt>
                <c:pt idx="72">
                  <c:v>2.5661347003351147</c:v>
                </c:pt>
                <c:pt idx="73">
                  <c:v>2.7957913196893864</c:v>
                </c:pt>
                <c:pt idx="74">
                  <c:v>3.0610657607327671</c:v>
                </c:pt>
                <c:pt idx="75">
                  <c:v>3.3561593345189165</c:v>
                </c:pt>
                <c:pt idx="76">
                  <c:v>3.675802605914309</c:v>
                </c:pt>
                <c:pt idx="77">
                  <c:v>4.0220780983754443</c:v>
                </c:pt>
                <c:pt idx="78">
                  <c:v>4.3901930794037609</c:v>
                </c:pt>
                <c:pt idx="79">
                  <c:v>4.8237565663612534</c:v>
                </c:pt>
                <c:pt idx="80">
                  <c:v>5.2728725988073251</c:v>
                </c:pt>
                <c:pt idx="81">
                  <c:v>5.7515484247469741</c:v>
                </c:pt>
                <c:pt idx="82">
                  <c:v>6.3117934405348546</c:v>
                </c:pt>
                <c:pt idx="83">
                  <c:v>6.8981298720783686</c:v>
                </c:pt>
                <c:pt idx="84">
                  <c:v>7.5373220505250309</c:v>
                </c:pt>
                <c:pt idx="85">
                  <c:v>8.256591160605625</c:v>
                </c:pt>
                <c:pt idx="86">
                  <c:v>9.0254282336824172</c:v>
                </c:pt>
                <c:pt idx="87">
                  <c:v>9.8806633478722024</c:v>
                </c:pt>
                <c:pt idx="88">
                  <c:v>10.813961203040337</c:v>
                </c:pt>
                <c:pt idx="89">
                  <c:v>11.823637558341376</c:v>
                </c:pt>
                <c:pt idx="90">
                  <c:v>12.9188561677725</c:v>
                </c:pt>
                <c:pt idx="91">
                  <c:v>14.140034906892909</c:v>
                </c:pt>
                <c:pt idx="92">
                  <c:v>15.468688776871838</c:v>
                </c:pt>
                <c:pt idx="93">
                  <c:v>16.939129954809459</c:v>
                </c:pt>
                <c:pt idx="94">
                  <c:v>18.506165078545386</c:v>
                </c:pt>
                <c:pt idx="95">
                  <c:v>20.26536375265275</c:v>
                </c:pt>
                <c:pt idx="96">
                  <c:v>22.157953260457631</c:v>
                </c:pt>
                <c:pt idx="97">
                  <c:v>24.23821978216235</c:v>
                </c:pt>
                <c:pt idx="98">
                  <c:v>26.529250693436552</c:v>
                </c:pt>
                <c:pt idx="99">
                  <c:v>29.03117875515057</c:v>
                </c:pt>
                <c:pt idx="100">
                  <c:v>31.704316276532158</c:v>
                </c:pt>
                <c:pt idx="101">
                  <c:v>34.635796039001292</c:v>
                </c:pt>
                <c:pt idx="102">
                  <c:v>38.096431995995658</c:v>
                </c:pt>
                <c:pt idx="103">
                  <c:v>41.565546426612308</c:v>
                </c:pt>
                <c:pt idx="104">
                  <c:v>45.564332476309659</c:v>
                </c:pt>
                <c:pt idx="105">
                  <c:v>49.82035442650831</c:v>
                </c:pt>
                <c:pt idx="106">
                  <c:v>54.347619850607522</c:v>
                </c:pt>
                <c:pt idx="107">
                  <c:v>59.426342692296764</c:v>
                </c:pt>
                <c:pt idx="108">
                  <c:v>65.028169394715789</c:v>
                </c:pt>
                <c:pt idx="109">
                  <c:v>71.162945087505179</c:v>
                </c:pt>
                <c:pt idx="110">
                  <c:v>78.087772910295882</c:v>
                </c:pt>
                <c:pt idx="111">
                  <c:v>85.291638051023128</c:v>
                </c:pt>
                <c:pt idx="112">
                  <c:v>93.289647480343689</c:v>
                </c:pt>
                <c:pt idx="113">
                  <c:v>102.05741484858197</c:v>
                </c:pt>
                <c:pt idx="114">
                  <c:v>111.61704093592007</c:v>
                </c:pt>
                <c:pt idx="115">
                  <c:v>122.00831235299449</c:v>
                </c:pt>
                <c:pt idx="116">
                  <c:v>133.47270810720369</c:v>
                </c:pt>
                <c:pt idx="117">
                  <c:v>145.99984681911707</c:v>
                </c:pt>
                <c:pt idx="118">
                  <c:v>158.52200829996937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238016"/>
        <c:axId val="161281536"/>
      </c:scatterChart>
      <c:valAx>
        <c:axId val="161238016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Wetting Phase Saturation (1- Hg), fraction pore space</a:t>
                </a:r>
              </a:p>
            </c:rich>
          </c:tx>
          <c:layout>
            <c:manualLayout>
              <c:xMode val="edge"/>
              <c:yMode val="edge"/>
              <c:x val="0.22145365047362159"/>
              <c:y val="0.9297658862876256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161281536"/>
        <c:crossesAt val="0"/>
        <c:crossBetween val="midCat"/>
        <c:majorUnit val="0.2"/>
        <c:minorUnit val="0.1"/>
      </c:valAx>
      <c:valAx>
        <c:axId val="161281536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Leverett J Function.</a:t>
                </a:r>
              </a:p>
            </c:rich>
          </c:tx>
          <c:layout>
            <c:manualLayout>
              <c:xMode val="edge"/>
              <c:yMode val="edge"/>
              <c:x val="5.5363321799309036E-2"/>
              <c:y val="0.3311036789297744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161238016"/>
        <c:crosses val="autoZero"/>
        <c:crossBetween val="midCat"/>
        <c:majorUnit val="0.4"/>
        <c:minorUnit val="0.2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 sz="600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619718309859155"/>
          <c:y val="5.369136314257017E-2"/>
          <c:w val="0.79577464788732399"/>
          <c:h val="0.81320051436523455"/>
        </c:manualLayout>
      </c:layout>
      <c:scatterChart>
        <c:scatterStyle val="lineMarker"/>
        <c:varyColors val="0"/>
        <c:ser>
          <c:idx val="2"/>
          <c:order val="0"/>
          <c:tx>
            <c:v>Uncorrected</c:v>
          </c:tx>
          <c:spPr>
            <a:ln w="12700">
              <a:solidFill>
                <a:srgbClr val="99CCFF"/>
              </a:solidFill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xVal>
            <c:numRef>
              <c:f>'Raw Data'!$D$18:$D$136</c:f>
              <c:numCache>
                <c:formatCode>0.000</c:formatCode>
                <c:ptCount val="119"/>
                <c:pt idx="0">
                  <c:v>0</c:v>
                </c:pt>
                <c:pt idx="1">
                  <c:v>6.3490709074693046E-4</c:v>
                </c:pt>
                <c:pt idx="2">
                  <c:v>1.1577717826124889E-3</c:v>
                </c:pt>
                <c:pt idx="3">
                  <c:v>4.7057820630375356E-3</c:v>
                </c:pt>
                <c:pt idx="4">
                  <c:v>1.5275119500081636E-2</c:v>
                </c:pt>
                <c:pt idx="5">
                  <c:v>1.7777401160953839E-2</c:v>
                </c:pt>
                <c:pt idx="6">
                  <c:v>1.9570080525570719E-2</c:v>
                </c:pt>
                <c:pt idx="7">
                  <c:v>2.1026631929365207E-2</c:v>
                </c:pt>
                <c:pt idx="8">
                  <c:v>2.1997665616330472E-2</c:v>
                </c:pt>
                <c:pt idx="9">
                  <c:v>2.2669918972519628E-2</c:v>
                </c:pt>
                <c:pt idx="10">
                  <c:v>2.3043394508804133E-2</c:v>
                </c:pt>
                <c:pt idx="11">
                  <c:v>2.3528909714761896E-2</c:v>
                </c:pt>
                <c:pt idx="12">
                  <c:v>2.3902384323115637E-2</c:v>
                </c:pt>
                <c:pt idx="13">
                  <c:v>2.4238512420398435E-2</c:v>
                </c:pt>
                <c:pt idx="14">
                  <c:v>2.4611987601885883E-2</c:v>
                </c:pt>
                <c:pt idx="15">
                  <c:v>2.4873418938011659E-2</c:v>
                </c:pt>
                <c:pt idx="16">
                  <c:v>2.5246894665340733E-2</c:v>
                </c:pt>
                <c:pt idx="17">
                  <c:v>2.539628440770153E-2</c:v>
                </c:pt>
                <c:pt idx="18">
                  <c:v>2.5620369996934626E-2</c:v>
                </c:pt>
                <c:pt idx="19">
                  <c:v>2.5881803407258569E-2</c:v>
                </c:pt>
                <c:pt idx="20">
                  <c:v>2.6105887058753906E-2</c:v>
                </c:pt>
                <c:pt idx="21">
                  <c:v>2.636732027803328E-2</c:v>
                </c:pt>
                <c:pt idx="22">
                  <c:v>2.655405841461863E-2</c:v>
                </c:pt>
                <c:pt idx="23">
                  <c:v>2.6740795323060326E-2</c:v>
                </c:pt>
                <c:pt idx="24">
                  <c:v>2.6964880284575558E-2</c:v>
                </c:pt>
                <c:pt idx="25">
                  <c:v>2.7188963281060952E-2</c:v>
                </c:pt>
                <c:pt idx="26">
                  <c:v>2.7413048297160347E-2</c:v>
                </c:pt>
                <c:pt idx="27">
                  <c:v>2.7525090934847427E-2</c:v>
                </c:pt>
                <c:pt idx="28">
                  <c:v>2.7786523035151476E-2</c:v>
                </c:pt>
                <c:pt idx="29">
                  <c:v>2.79732600527615E-2</c:v>
                </c:pt>
                <c:pt idx="30">
                  <c:v>2.8309387767955156E-2</c:v>
                </c:pt>
                <c:pt idx="31">
                  <c:v>2.8533470136722684E-2</c:v>
                </c:pt>
                <c:pt idx="32">
                  <c:v>2.8794903819967438E-2</c:v>
                </c:pt>
                <c:pt idx="33">
                  <c:v>2.9131032626844341E-2</c:v>
                </c:pt>
                <c:pt idx="34">
                  <c:v>2.9131032626844341E-2</c:v>
                </c:pt>
                <c:pt idx="35">
                  <c:v>2.9131032626844341E-2</c:v>
                </c:pt>
                <c:pt idx="36">
                  <c:v>2.9131032626844341E-2</c:v>
                </c:pt>
                <c:pt idx="37">
                  <c:v>2.9131032626844341E-2</c:v>
                </c:pt>
                <c:pt idx="38">
                  <c:v>2.9381087722928464E-2</c:v>
                </c:pt>
                <c:pt idx="39">
                  <c:v>3.003191418041385E-2</c:v>
                </c:pt>
                <c:pt idx="40">
                  <c:v>3.0801072721078401E-2</c:v>
                </c:pt>
                <c:pt idx="41">
                  <c:v>3.2635220010355404E-2</c:v>
                </c:pt>
                <c:pt idx="42">
                  <c:v>3.5771020214603183E-2</c:v>
                </c:pt>
                <c:pt idx="43">
                  <c:v>4.0859299791307119E-2</c:v>
                </c:pt>
                <c:pt idx="44">
                  <c:v>5.2455843942864941E-2</c:v>
                </c:pt>
                <c:pt idx="45">
                  <c:v>8.4168842234880206E-2</c:v>
                </c:pt>
                <c:pt idx="46">
                  <c:v>0.14428154048989419</c:v>
                </c:pt>
                <c:pt idx="47">
                  <c:v>0.22782399121438215</c:v>
                </c:pt>
                <c:pt idx="48">
                  <c:v>0.32550712587877989</c:v>
                </c:pt>
                <c:pt idx="49">
                  <c:v>0.39100393391844573</c:v>
                </c:pt>
                <c:pt idx="50">
                  <c:v>0.42390025304225259</c:v>
                </c:pt>
                <c:pt idx="51">
                  <c:v>0.44833582821874945</c:v>
                </c:pt>
                <c:pt idx="52">
                  <c:v>0.471824746729813</c:v>
                </c:pt>
                <c:pt idx="53">
                  <c:v>0.49276952545252456</c:v>
                </c:pt>
                <c:pt idx="54">
                  <c:v>0.51235348521867574</c:v>
                </c:pt>
                <c:pt idx="55">
                  <c:v>0.52992579957078123</c:v>
                </c:pt>
                <c:pt idx="56">
                  <c:v>0.54726144975652835</c:v>
                </c:pt>
                <c:pt idx="57">
                  <c:v>0.56341377911048396</c:v>
                </c:pt>
                <c:pt idx="58">
                  <c:v>0.57838278763264783</c:v>
                </c:pt>
                <c:pt idx="59">
                  <c:v>0.5922276413646097</c:v>
                </c:pt>
                <c:pt idx="60">
                  <c:v>0.6054216686390862</c:v>
                </c:pt>
                <c:pt idx="61">
                  <c:v>0.61891152612151057</c:v>
                </c:pt>
                <c:pt idx="62">
                  <c:v>0.63169139110486006</c:v>
                </c:pt>
                <c:pt idx="63">
                  <c:v>0.64429375796344068</c:v>
                </c:pt>
                <c:pt idx="64">
                  <c:v>0.65624529836453616</c:v>
                </c:pt>
                <c:pt idx="65">
                  <c:v>0.66843350293198966</c:v>
                </c:pt>
                <c:pt idx="66">
                  <c:v>0.6806808735410329</c:v>
                </c:pt>
                <c:pt idx="67">
                  <c:v>0.69251408185894903</c:v>
                </c:pt>
                <c:pt idx="68">
                  <c:v>0.70440645621845477</c:v>
                </c:pt>
                <c:pt idx="69">
                  <c:v>0.71600300037001263</c:v>
                </c:pt>
                <c:pt idx="70">
                  <c:v>0.72694871806408501</c:v>
                </c:pt>
                <c:pt idx="71">
                  <c:v>0.73789443575815739</c:v>
                </c:pt>
                <c:pt idx="72">
                  <c:v>0.74872182136905074</c:v>
                </c:pt>
                <c:pt idx="73">
                  <c:v>0.75901671260563774</c:v>
                </c:pt>
                <c:pt idx="74">
                  <c:v>0.76972576613335186</c:v>
                </c:pt>
                <c:pt idx="75">
                  <c:v>0.78019815549470761</c:v>
                </c:pt>
                <c:pt idx="76">
                  <c:v>0.79055221277288423</c:v>
                </c:pt>
                <c:pt idx="77">
                  <c:v>0.80001877942721722</c:v>
                </c:pt>
                <c:pt idx="78">
                  <c:v>0.80918951587360222</c:v>
                </c:pt>
                <c:pt idx="79">
                  <c:v>0.81877441461111433</c:v>
                </c:pt>
                <c:pt idx="80">
                  <c:v>0.82753098876637221</c:v>
                </c:pt>
                <c:pt idx="81">
                  <c:v>0.83563673646414482</c:v>
                </c:pt>
                <c:pt idx="82">
                  <c:v>0.84409748041145483</c:v>
                </c:pt>
                <c:pt idx="83">
                  <c:v>0.85226239415081695</c:v>
                </c:pt>
                <c:pt idx="84">
                  <c:v>0.8601906437238207</c:v>
                </c:pt>
                <c:pt idx="85">
                  <c:v>0.86847388954636195</c:v>
                </c:pt>
                <c:pt idx="86">
                  <c:v>0.87622464099459718</c:v>
                </c:pt>
                <c:pt idx="87">
                  <c:v>0.88415289056760105</c:v>
                </c:pt>
                <c:pt idx="88">
                  <c:v>0.89178530993265681</c:v>
                </c:pt>
                <c:pt idx="89">
                  <c:v>0.89947689533930231</c:v>
                </c:pt>
                <c:pt idx="90">
                  <c:v>0.90669515241323118</c:v>
                </c:pt>
                <c:pt idx="91">
                  <c:v>0.91438673781987667</c:v>
                </c:pt>
                <c:pt idx="92">
                  <c:v>0.92059917218678267</c:v>
                </c:pt>
                <c:pt idx="93">
                  <c:v>0.92716660280322616</c:v>
                </c:pt>
                <c:pt idx="94">
                  <c:v>0.93349736925331128</c:v>
                </c:pt>
                <c:pt idx="95">
                  <c:v>0.93976896966180679</c:v>
                </c:pt>
                <c:pt idx="96">
                  <c:v>0.9456855738207649</c:v>
                </c:pt>
                <c:pt idx="97">
                  <c:v>0.95136551381336465</c:v>
                </c:pt>
                <c:pt idx="98">
                  <c:v>0.95663129151483728</c:v>
                </c:pt>
                <c:pt idx="99">
                  <c:v>0.96171957109154127</c:v>
                </c:pt>
                <c:pt idx="100">
                  <c:v>0.9662753562939389</c:v>
                </c:pt>
                <c:pt idx="101">
                  <c:v>0.97053531128838877</c:v>
                </c:pt>
                <c:pt idx="102">
                  <c:v>0.97467693419965939</c:v>
                </c:pt>
                <c:pt idx="103">
                  <c:v>0.97846356086139263</c:v>
                </c:pt>
                <c:pt idx="104">
                  <c:v>0.98189519127358837</c:v>
                </c:pt>
                <c:pt idx="105">
                  <c:v>0.98520848960260476</c:v>
                </c:pt>
                <c:pt idx="106">
                  <c:v>0.98804845959890475</c:v>
                </c:pt>
                <c:pt idx="107">
                  <c:v>0.98964594272182338</c:v>
                </c:pt>
                <c:pt idx="108">
                  <c:v>0.99213091646858576</c:v>
                </c:pt>
                <c:pt idx="109">
                  <c:v>0.99396506375786275</c:v>
                </c:pt>
                <c:pt idx="110">
                  <c:v>0.99550338083919188</c:v>
                </c:pt>
                <c:pt idx="111">
                  <c:v>0.99686419979575214</c:v>
                </c:pt>
                <c:pt idx="112">
                  <c:v>0.9978108564611855</c:v>
                </c:pt>
                <c:pt idx="113">
                  <c:v>0.99852084896026039</c:v>
                </c:pt>
                <c:pt idx="114">
                  <c:v>0.99940833958410413</c:v>
                </c:pt>
                <c:pt idx="115">
                  <c:v>0.99982250187523125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Table!$E$18:$E$136</c:f>
              <c:numCache>
                <c:formatCode>???0.000</c:formatCode>
                <c:ptCount val="119"/>
                <c:pt idx="0">
                  <c:v>60.095133594900979</c:v>
                </c:pt>
                <c:pt idx="1">
                  <c:v>57.247093784440708</c:v>
                </c:pt>
                <c:pt idx="2">
                  <c:v>50.303836853714422</c:v>
                </c:pt>
                <c:pt idx="3">
                  <c:v>45.38009851218974</c:v>
                </c:pt>
                <c:pt idx="4">
                  <c:v>42.043528441874948</c:v>
                </c:pt>
                <c:pt idx="5">
                  <c:v>38.610483127398126</c:v>
                </c:pt>
                <c:pt idx="6">
                  <c:v>35.337891066673926</c:v>
                </c:pt>
                <c:pt idx="7">
                  <c:v>32.385982752339714</c:v>
                </c:pt>
                <c:pt idx="8">
                  <c:v>29.622185692463667</c:v>
                </c:pt>
                <c:pt idx="9">
                  <c:v>27.229166104324147</c:v>
                </c:pt>
                <c:pt idx="10">
                  <c:v>24.745290063198329</c:v>
                </c:pt>
                <c:pt idx="11">
                  <c:v>22.66381736360562</c:v>
                </c:pt>
                <c:pt idx="12">
                  <c:v>20.733111554203933</c:v>
                </c:pt>
                <c:pt idx="13">
                  <c:v>18.953535464726315</c:v>
                </c:pt>
                <c:pt idx="14">
                  <c:v>17.373337535705936</c:v>
                </c:pt>
                <c:pt idx="15">
                  <c:v>15.889488133274735</c:v>
                </c:pt>
                <c:pt idx="16">
                  <c:v>14.537266519496933</c:v>
                </c:pt>
                <c:pt idx="17">
                  <c:v>13.273644147324314</c:v>
                </c:pt>
                <c:pt idx="18">
                  <c:v>12.136389578861634</c:v>
                </c:pt>
                <c:pt idx="19">
                  <c:v>11.115465000697546</c:v>
                </c:pt>
                <c:pt idx="20">
                  <c:v>10.158639506343187</c:v>
                </c:pt>
                <c:pt idx="21">
                  <c:v>9.2809226182651603</c:v>
                </c:pt>
                <c:pt idx="22">
                  <c:v>8.4975956719716592</c:v>
                </c:pt>
                <c:pt idx="23">
                  <c:v>7.7105862765749196</c:v>
                </c:pt>
                <c:pt idx="24">
                  <c:v>7.116418376424086</c:v>
                </c:pt>
                <c:pt idx="25">
                  <c:v>6.4621377292679636</c:v>
                </c:pt>
                <c:pt idx="26">
                  <c:v>5.9234319886839737</c:v>
                </c:pt>
                <c:pt idx="27">
                  <c:v>5.4326208882006686</c:v>
                </c:pt>
                <c:pt idx="28">
                  <c:v>4.9634577226212917</c:v>
                </c:pt>
                <c:pt idx="29">
                  <c:v>4.5239906544132271</c:v>
                </c:pt>
                <c:pt idx="30">
                  <c:v>4.135893232672796</c:v>
                </c:pt>
                <c:pt idx="31">
                  <c:v>3.7786056272576007</c:v>
                </c:pt>
                <c:pt idx="32">
                  <c:v>3.4457571830154312</c:v>
                </c:pt>
                <c:pt idx="33">
                  <c:v>3.1640481259182751</c:v>
                </c:pt>
                <c:pt idx="34">
                  <c:v>3.0744229638073035</c:v>
                </c:pt>
                <c:pt idx="35">
                  <c:v>2.8140409854496813</c:v>
                </c:pt>
                <c:pt idx="36">
                  <c:v>2.5187807232990318</c:v>
                </c:pt>
                <c:pt idx="37">
                  <c:v>2.273013983837386</c:v>
                </c:pt>
                <c:pt idx="38">
                  <c:v>2.0709196657959734</c:v>
                </c:pt>
                <c:pt idx="39">
                  <c:v>1.8563409491798104</c:v>
                </c:pt>
                <c:pt idx="40">
                  <c:v>1.7609822073918782</c:v>
                </c:pt>
                <c:pt idx="41">
                  <c:v>1.5575207527805246</c:v>
                </c:pt>
                <c:pt idx="42">
                  <c:v>1.4352793684177618</c:v>
                </c:pt>
                <c:pt idx="43">
                  <c:v>1.2938493002416873</c:v>
                </c:pt>
                <c:pt idx="44">
                  <c:v>1.2099683660442997</c:v>
                </c:pt>
                <c:pt idx="45">
                  <c:v>1.1084431360447904</c:v>
                </c:pt>
                <c:pt idx="46">
                  <c:v>0.99745330122801923</c:v>
                </c:pt>
                <c:pt idx="47">
                  <c:v>0.90702738344903044</c:v>
                </c:pt>
                <c:pt idx="48">
                  <c:v>0.83222398235721018</c:v>
                </c:pt>
                <c:pt idx="49">
                  <c:v>0.76043385045314427</c:v>
                </c:pt>
                <c:pt idx="50">
                  <c:v>0.69351213831620928</c:v>
                </c:pt>
                <c:pt idx="51">
                  <c:v>0.63436613926702967</c:v>
                </c:pt>
                <c:pt idx="52">
                  <c:v>0.58006348928021845</c:v>
                </c:pt>
                <c:pt idx="53">
                  <c:v>0.52772113074172944</c:v>
                </c:pt>
                <c:pt idx="54">
                  <c:v>0.48264216885539263</c:v>
                </c:pt>
                <c:pt idx="55">
                  <c:v>0.44121117870233717</c:v>
                </c:pt>
                <c:pt idx="56">
                  <c:v>0.40331155026756599</c:v>
                </c:pt>
                <c:pt idx="57">
                  <c:v>0.3665998003737575</c:v>
                </c:pt>
                <c:pt idx="58">
                  <c:v>0.33557127311671137</c:v>
                </c:pt>
                <c:pt idx="59">
                  <c:v>0.30636157688669596</c:v>
                </c:pt>
                <c:pt idx="60">
                  <c:v>0.27998435646751457</c:v>
                </c:pt>
                <c:pt idx="61">
                  <c:v>0.25635451128396225</c:v>
                </c:pt>
                <c:pt idx="62">
                  <c:v>0.23399202292385707</c:v>
                </c:pt>
                <c:pt idx="63">
                  <c:v>0.21381444772355682</c:v>
                </c:pt>
                <c:pt idx="64">
                  <c:v>0.19533497946721606</c:v>
                </c:pt>
                <c:pt idx="65">
                  <c:v>0.17864088763236888</c:v>
                </c:pt>
                <c:pt idx="66">
                  <c:v>0.16327152111283114</c:v>
                </c:pt>
                <c:pt idx="67">
                  <c:v>0.14938322065356949</c:v>
                </c:pt>
                <c:pt idx="68">
                  <c:v>0.13640975815624226</c:v>
                </c:pt>
                <c:pt idx="69">
                  <c:v>0.12470601555997378</c:v>
                </c:pt>
                <c:pt idx="70">
                  <c:v>0.11393685439956483</c:v>
                </c:pt>
                <c:pt idx="71">
                  <c:v>0.10423722590089478</c:v>
                </c:pt>
                <c:pt idx="72">
                  <c:v>9.5208777283871032E-2</c:v>
                </c:pt>
                <c:pt idx="73">
                  <c:v>8.7387976865084108E-2</c:v>
                </c:pt>
                <c:pt idx="74">
                  <c:v>7.9814863927043955E-2</c:v>
                </c:pt>
                <c:pt idx="75">
                  <c:v>7.2797064385991234E-2</c:v>
                </c:pt>
                <c:pt idx="76">
                  <c:v>6.6466721246542015E-2</c:v>
                </c:pt>
                <c:pt idx="77">
                  <c:v>6.0744356819749885E-2</c:v>
                </c:pt>
                <c:pt idx="78">
                  <c:v>5.5650979978721204E-2</c:v>
                </c:pt>
                <c:pt idx="79">
                  <c:v>5.0649020903830153E-2</c:v>
                </c:pt>
                <c:pt idx="80">
                  <c:v>4.6334999108433167E-2</c:v>
                </c:pt>
                <c:pt idx="81">
                  <c:v>4.2478742961356064E-2</c:v>
                </c:pt>
                <c:pt idx="82">
                  <c:v>3.8708260887560957E-2</c:v>
                </c:pt>
                <c:pt idx="83">
                  <c:v>3.5418084567173748E-2</c:v>
                </c:pt>
                <c:pt idx="84">
                  <c:v>3.2414502860150511E-2</c:v>
                </c:pt>
                <c:pt idx="85">
                  <c:v>2.9590728475248639E-2</c:v>
                </c:pt>
                <c:pt idx="86">
                  <c:v>2.7070022700178952E-2</c:v>
                </c:pt>
                <c:pt idx="87">
                  <c:v>2.4726937712864491E-2</c:v>
                </c:pt>
                <c:pt idx="88">
                  <c:v>2.2592881792097525E-2</c:v>
                </c:pt>
                <c:pt idx="89">
                  <c:v>2.0663568716402042E-2</c:v>
                </c:pt>
                <c:pt idx="90">
                  <c:v>1.8911778565512512E-2</c:v>
                </c:pt>
                <c:pt idx="91">
                  <c:v>1.7278496748655121E-2</c:v>
                </c:pt>
                <c:pt idx="92">
                  <c:v>1.5794392833729663E-2</c:v>
                </c:pt>
                <c:pt idx="93">
                  <c:v>1.4423323264914835E-2</c:v>
                </c:pt>
                <c:pt idx="94">
                  <c:v>1.3202008418689784E-2</c:v>
                </c:pt>
                <c:pt idx="95">
                  <c:v>1.205596653218907E-2</c:v>
                </c:pt>
                <c:pt idx="96">
                  <c:v>1.1026223599840427E-2</c:v>
                </c:pt>
                <c:pt idx="97">
                  <c:v>1.0079888265738912E-2</c:v>
                </c:pt>
                <c:pt idx="98">
                  <c:v>9.2094024813548364E-3</c:v>
                </c:pt>
                <c:pt idx="99">
                  <c:v>8.415729489498364E-3</c:v>
                </c:pt>
                <c:pt idx="100">
                  <c:v>7.7061604178313738E-3</c:v>
                </c:pt>
                <c:pt idx="101">
                  <c:v>7.0539319174159178E-3</c:v>
                </c:pt>
                <c:pt idx="102">
                  <c:v>6.4131608752835316E-3</c:v>
                </c:pt>
                <c:pt idx="103">
                  <c:v>5.8779101483962285E-3</c:v>
                </c:pt>
                <c:pt idx="104">
                  <c:v>5.3620569837525443E-3</c:v>
                </c:pt>
                <c:pt idx="105">
                  <c:v>4.9039905471772918E-3</c:v>
                </c:pt>
                <c:pt idx="106">
                  <c:v>4.4954783270400754E-3</c:v>
                </c:pt>
                <c:pt idx="107">
                  <c:v>4.1112835839431398E-3</c:v>
                </c:pt>
                <c:pt idx="108">
                  <c:v>3.7571186370267485E-3</c:v>
                </c:pt>
                <c:pt idx="109">
                  <c:v>3.4332270378101123E-3</c:v>
                </c:pt>
                <c:pt idx="110">
                  <c:v>3.1287682829075235E-3</c:v>
                </c:pt>
                <c:pt idx="111">
                  <c:v>2.8645076205297284E-3</c:v>
                </c:pt>
                <c:pt idx="112">
                  <c:v>2.6189245405402292E-3</c:v>
                </c:pt>
                <c:pt idx="113">
                  <c:v>2.3939323519717166E-3</c:v>
                </c:pt>
                <c:pt idx="114">
                  <c:v>2.1889000560844788E-3</c:v>
                </c:pt>
                <c:pt idx="115">
                  <c:v>2.002474605646184E-3</c:v>
                </c:pt>
                <c:pt idx="116">
                  <c:v>1.8304756877217576E-3</c:v>
                </c:pt>
                <c:pt idx="117">
                  <c:v>1.6734164623289749E-3</c:v>
                </c:pt>
                <c:pt idx="118">
                  <c:v>1.5412279328577386E-3</c:v>
                </c:pt>
              </c:numCache>
            </c:numRef>
          </c:yVal>
          <c:smooth val="0"/>
        </c:ser>
        <c:ser>
          <c:idx val="0"/>
          <c:order val="1"/>
          <c:tx>
            <c:v>Conformance Corrected</c:v>
          </c:tx>
          <c:spPr>
            <a:ln w="12700">
              <a:solidFill>
                <a:srgbClr val="0000FF"/>
              </a:solidFill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Table!$B$18:$B$136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6.705272782688205E-4</c:v>
                </c:pt>
                <c:pt idx="40">
                  <c:v>1.4629686071319717E-3</c:v>
                </c:pt>
                <c:pt idx="41">
                  <c:v>3.3526363913441021E-3</c:v>
                </c:pt>
                <c:pt idx="42">
                  <c:v>6.5833587320938735E-3</c:v>
                </c:pt>
                <c:pt idx="43">
                  <c:v>1.1825662907650107E-2</c:v>
                </c:pt>
                <c:pt idx="44">
                  <c:v>2.3773239865894542E-2</c:v>
                </c:pt>
                <c:pt idx="45">
                  <c:v>5.6446205425175248E-2</c:v>
                </c:pt>
                <c:pt idx="46">
                  <c:v>0.11837854312709541</c:v>
                </c:pt>
                <c:pt idx="47">
                  <c:v>0.20444986284669306</c:v>
                </c:pt>
                <c:pt idx="48">
                  <c:v>0.30508991161231325</c:v>
                </c:pt>
                <c:pt idx="49">
                  <c:v>0.3725693386162755</c:v>
                </c:pt>
                <c:pt idx="50">
                  <c:v>0.40646144468149947</c:v>
                </c:pt>
                <c:pt idx="51">
                  <c:v>0.43163669612922884</c:v>
                </c:pt>
                <c:pt idx="52">
                  <c:v>0.45583663517220357</c:v>
                </c:pt>
                <c:pt idx="53">
                  <c:v>0.47741542212740018</c:v>
                </c:pt>
                <c:pt idx="54">
                  <c:v>0.49759219750076195</c:v>
                </c:pt>
                <c:pt idx="55">
                  <c:v>0.5156964340140201</c:v>
                </c:pt>
                <c:pt idx="56">
                  <c:v>0.53355684242608958</c:v>
                </c:pt>
                <c:pt idx="57">
                  <c:v>0.55019811033221577</c:v>
                </c:pt>
                <c:pt idx="58">
                  <c:v>0.56562023773239856</c:v>
                </c:pt>
                <c:pt idx="59">
                  <c:v>0.57988418165193534</c:v>
                </c:pt>
                <c:pt idx="60">
                  <c:v>0.59347759829320323</c:v>
                </c:pt>
                <c:pt idx="61">
                  <c:v>0.60737580006095693</c:v>
                </c:pt>
                <c:pt idx="62">
                  <c:v>0.62054251752514478</c:v>
                </c:pt>
                <c:pt idx="63">
                  <c:v>0.63352636391344097</c:v>
                </c:pt>
                <c:pt idx="64">
                  <c:v>0.6458396830234685</c:v>
                </c:pt>
                <c:pt idx="65">
                  <c:v>0.65839683023468454</c:v>
                </c:pt>
                <c:pt idx="66">
                  <c:v>0.67101493447119775</c:v>
                </c:pt>
                <c:pt idx="67">
                  <c:v>0.68320633953063092</c:v>
                </c:pt>
                <c:pt idx="68">
                  <c:v>0.69545870161536116</c:v>
                </c:pt>
                <c:pt idx="69">
                  <c:v>0.70740627857360561</c:v>
                </c:pt>
                <c:pt idx="70">
                  <c:v>0.71868332825358128</c:v>
                </c:pt>
                <c:pt idx="71">
                  <c:v>0.72996037793355684</c:v>
                </c:pt>
                <c:pt idx="72">
                  <c:v>0.74111551356293814</c:v>
                </c:pt>
                <c:pt idx="73">
                  <c:v>0.75172203596464493</c:v>
                </c:pt>
                <c:pt idx="74">
                  <c:v>0.76275525754343187</c:v>
                </c:pt>
                <c:pt idx="75">
                  <c:v>0.77354465102103009</c:v>
                </c:pt>
                <c:pt idx="76">
                  <c:v>0.78421213044803406</c:v>
                </c:pt>
                <c:pt idx="77">
                  <c:v>0.79396525449558053</c:v>
                </c:pt>
                <c:pt idx="78">
                  <c:v>0.80341359341664131</c:v>
                </c:pt>
                <c:pt idx="79">
                  <c:v>0.81328863151478203</c:v>
                </c:pt>
                <c:pt idx="80">
                  <c:v>0.82231027125876255</c:v>
                </c:pt>
                <c:pt idx="81">
                  <c:v>0.83066138372447418</c:v>
                </c:pt>
                <c:pt idx="82">
                  <c:v>0.8393782383419689</c:v>
                </c:pt>
                <c:pt idx="83">
                  <c:v>0.84779030783297771</c:v>
                </c:pt>
                <c:pt idx="84">
                  <c:v>0.85595854922279779</c:v>
                </c:pt>
                <c:pt idx="85">
                  <c:v>0.86449253276440097</c:v>
                </c:pt>
                <c:pt idx="86">
                  <c:v>0.87247790307832973</c:v>
                </c:pt>
                <c:pt idx="87">
                  <c:v>0.88064614446814993</c:v>
                </c:pt>
                <c:pt idx="88">
                  <c:v>0.88850960073148422</c:v>
                </c:pt>
                <c:pt idx="89">
                  <c:v>0.89643401402011569</c:v>
                </c:pt>
                <c:pt idx="90">
                  <c:v>0.90387077110636993</c:v>
                </c:pt>
                <c:pt idx="91">
                  <c:v>0.91179518439500151</c:v>
                </c:pt>
                <c:pt idx="92">
                  <c:v>0.91819567205120389</c:v>
                </c:pt>
                <c:pt idx="93">
                  <c:v>0.92496190185918925</c:v>
                </c:pt>
                <c:pt idx="94">
                  <c:v>0.93148430356598599</c:v>
                </c:pt>
                <c:pt idx="95">
                  <c:v>0.93794574824748544</c:v>
                </c:pt>
                <c:pt idx="96">
                  <c:v>0.94404145077720203</c:v>
                </c:pt>
                <c:pt idx="97">
                  <c:v>0.94989332520572989</c:v>
                </c:pt>
                <c:pt idx="98">
                  <c:v>0.95531850045717759</c:v>
                </c:pt>
                <c:pt idx="99">
                  <c:v>0.96056080463273397</c:v>
                </c:pt>
                <c:pt idx="100">
                  <c:v>0.9652544955806156</c:v>
                </c:pt>
                <c:pt idx="101">
                  <c:v>0.96964340140201155</c:v>
                </c:pt>
                <c:pt idx="102">
                  <c:v>0.97391039317281303</c:v>
                </c:pt>
                <c:pt idx="103">
                  <c:v>0.97781164279183175</c:v>
                </c:pt>
                <c:pt idx="104">
                  <c:v>0.98134715025906738</c:v>
                </c:pt>
                <c:pt idx="105">
                  <c:v>0.98476074367570854</c:v>
                </c:pt>
                <c:pt idx="106">
                  <c:v>0.98768668088997258</c:v>
                </c:pt>
                <c:pt idx="107">
                  <c:v>0.98933252057299603</c:v>
                </c:pt>
                <c:pt idx="108">
                  <c:v>0.99189271563547698</c:v>
                </c:pt>
                <c:pt idx="109">
                  <c:v>0.99378238341968916</c:v>
                </c:pt>
                <c:pt idx="110">
                  <c:v>0.99536726607741544</c:v>
                </c:pt>
                <c:pt idx="111">
                  <c:v>0.99676927765925016</c:v>
                </c:pt>
                <c:pt idx="112">
                  <c:v>0.99774459006400484</c:v>
                </c:pt>
                <c:pt idx="113">
                  <c:v>0.9984760743675708</c:v>
                </c:pt>
                <c:pt idx="114">
                  <c:v>0.9993904297470283</c:v>
                </c:pt>
                <c:pt idx="115">
                  <c:v>0.99981712892410857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Table!$E$18:$E$136</c:f>
              <c:numCache>
                <c:formatCode>???0.000</c:formatCode>
                <c:ptCount val="119"/>
                <c:pt idx="0">
                  <c:v>60.095133594900979</c:v>
                </c:pt>
                <c:pt idx="1">
                  <c:v>57.247093784440708</c:v>
                </c:pt>
                <c:pt idx="2">
                  <c:v>50.303836853714422</c:v>
                </c:pt>
                <c:pt idx="3">
                  <c:v>45.38009851218974</c:v>
                </c:pt>
                <c:pt idx="4">
                  <c:v>42.043528441874948</c:v>
                </c:pt>
                <c:pt idx="5">
                  <c:v>38.610483127398126</c:v>
                </c:pt>
                <c:pt idx="6">
                  <c:v>35.337891066673926</c:v>
                </c:pt>
                <c:pt idx="7">
                  <c:v>32.385982752339714</c:v>
                </c:pt>
                <c:pt idx="8">
                  <c:v>29.622185692463667</c:v>
                </c:pt>
                <c:pt idx="9">
                  <c:v>27.229166104324147</c:v>
                </c:pt>
                <c:pt idx="10">
                  <c:v>24.745290063198329</c:v>
                </c:pt>
                <c:pt idx="11">
                  <c:v>22.66381736360562</c:v>
                </c:pt>
                <c:pt idx="12">
                  <c:v>20.733111554203933</c:v>
                </c:pt>
                <c:pt idx="13">
                  <c:v>18.953535464726315</c:v>
                </c:pt>
                <c:pt idx="14">
                  <c:v>17.373337535705936</c:v>
                </c:pt>
                <c:pt idx="15">
                  <c:v>15.889488133274735</c:v>
                </c:pt>
                <c:pt idx="16">
                  <c:v>14.537266519496933</c:v>
                </c:pt>
                <c:pt idx="17">
                  <c:v>13.273644147324314</c:v>
                </c:pt>
                <c:pt idx="18">
                  <c:v>12.136389578861634</c:v>
                </c:pt>
                <c:pt idx="19">
                  <c:v>11.115465000697546</c:v>
                </c:pt>
                <c:pt idx="20">
                  <c:v>10.158639506343187</c:v>
                </c:pt>
                <c:pt idx="21">
                  <c:v>9.2809226182651603</c:v>
                </c:pt>
                <c:pt idx="22">
                  <c:v>8.4975956719716592</c:v>
                </c:pt>
                <c:pt idx="23">
                  <c:v>7.7105862765749196</c:v>
                </c:pt>
                <c:pt idx="24">
                  <c:v>7.116418376424086</c:v>
                </c:pt>
                <c:pt idx="25">
                  <c:v>6.4621377292679636</c:v>
                </c:pt>
                <c:pt idx="26">
                  <c:v>5.9234319886839737</c:v>
                </c:pt>
                <c:pt idx="27">
                  <c:v>5.4326208882006686</c:v>
                </c:pt>
                <c:pt idx="28">
                  <c:v>4.9634577226212917</c:v>
                </c:pt>
                <c:pt idx="29">
                  <c:v>4.5239906544132271</c:v>
                </c:pt>
                <c:pt idx="30">
                  <c:v>4.135893232672796</c:v>
                </c:pt>
                <c:pt idx="31">
                  <c:v>3.7786056272576007</c:v>
                </c:pt>
                <c:pt idx="32">
                  <c:v>3.4457571830154312</c:v>
                </c:pt>
                <c:pt idx="33">
                  <c:v>3.1640481259182751</c:v>
                </c:pt>
                <c:pt idx="34">
                  <c:v>3.0744229638073035</c:v>
                </c:pt>
                <c:pt idx="35">
                  <c:v>2.8140409854496813</c:v>
                </c:pt>
                <c:pt idx="36">
                  <c:v>2.5187807232990318</c:v>
                </c:pt>
                <c:pt idx="37">
                  <c:v>2.273013983837386</c:v>
                </c:pt>
                <c:pt idx="38">
                  <c:v>2.0709196657959734</c:v>
                </c:pt>
                <c:pt idx="39">
                  <c:v>1.8563409491798104</c:v>
                </c:pt>
                <c:pt idx="40">
                  <c:v>1.7609822073918782</c:v>
                </c:pt>
                <c:pt idx="41">
                  <c:v>1.5575207527805246</c:v>
                </c:pt>
                <c:pt idx="42">
                  <c:v>1.4352793684177618</c:v>
                </c:pt>
                <c:pt idx="43">
                  <c:v>1.2938493002416873</c:v>
                </c:pt>
                <c:pt idx="44">
                  <c:v>1.2099683660442997</c:v>
                </c:pt>
                <c:pt idx="45">
                  <c:v>1.1084431360447904</c:v>
                </c:pt>
                <c:pt idx="46">
                  <c:v>0.99745330122801923</c:v>
                </c:pt>
                <c:pt idx="47">
                  <c:v>0.90702738344903044</c:v>
                </c:pt>
                <c:pt idx="48">
                  <c:v>0.83222398235721018</c:v>
                </c:pt>
                <c:pt idx="49">
                  <c:v>0.76043385045314427</c:v>
                </c:pt>
                <c:pt idx="50">
                  <c:v>0.69351213831620928</c:v>
                </c:pt>
                <c:pt idx="51">
                  <c:v>0.63436613926702967</c:v>
                </c:pt>
                <c:pt idx="52">
                  <c:v>0.58006348928021845</c:v>
                </c:pt>
                <c:pt idx="53">
                  <c:v>0.52772113074172944</c:v>
                </c:pt>
                <c:pt idx="54">
                  <c:v>0.48264216885539263</c:v>
                </c:pt>
                <c:pt idx="55">
                  <c:v>0.44121117870233717</c:v>
                </c:pt>
                <c:pt idx="56">
                  <c:v>0.40331155026756599</c:v>
                </c:pt>
                <c:pt idx="57">
                  <c:v>0.3665998003737575</c:v>
                </c:pt>
                <c:pt idx="58">
                  <c:v>0.33557127311671137</c:v>
                </c:pt>
                <c:pt idx="59">
                  <c:v>0.30636157688669596</c:v>
                </c:pt>
                <c:pt idx="60">
                  <c:v>0.27998435646751457</c:v>
                </c:pt>
                <c:pt idx="61">
                  <c:v>0.25635451128396225</c:v>
                </c:pt>
                <c:pt idx="62">
                  <c:v>0.23399202292385707</c:v>
                </c:pt>
                <c:pt idx="63">
                  <c:v>0.21381444772355682</c:v>
                </c:pt>
                <c:pt idx="64">
                  <c:v>0.19533497946721606</c:v>
                </c:pt>
                <c:pt idx="65">
                  <c:v>0.17864088763236888</c:v>
                </c:pt>
                <c:pt idx="66">
                  <c:v>0.16327152111283114</c:v>
                </c:pt>
                <c:pt idx="67">
                  <c:v>0.14938322065356949</c:v>
                </c:pt>
                <c:pt idx="68">
                  <c:v>0.13640975815624226</c:v>
                </c:pt>
                <c:pt idx="69">
                  <c:v>0.12470601555997378</c:v>
                </c:pt>
                <c:pt idx="70">
                  <c:v>0.11393685439956483</c:v>
                </c:pt>
                <c:pt idx="71">
                  <c:v>0.10423722590089478</c:v>
                </c:pt>
                <c:pt idx="72">
                  <c:v>9.5208777283871032E-2</c:v>
                </c:pt>
                <c:pt idx="73">
                  <c:v>8.7387976865084108E-2</c:v>
                </c:pt>
                <c:pt idx="74">
                  <c:v>7.9814863927043955E-2</c:v>
                </c:pt>
                <c:pt idx="75">
                  <c:v>7.2797064385991234E-2</c:v>
                </c:pt>
                <c:pt idx="76">
                  <c:v>6.6466721246542015E-2</c:v>
                </c:pt>
                <c:pt idx="77">
                  <c:v>6.0744356819749885E-2</c:v>
                </c:pt>
                <c:pt idx="78">
                  <c:v>5.5650979978721204E-2</c:v>
                </c:pt>
                <c:pt idx="79">
                  <c:v>5.0649020903830153E-2</c:v>
                </c:pt>
                <c:pt idx="80">
                  <c:v>4.6334999108433167E-2</c:v>
                </c:pt>
                <c:pt idx="81">
                  <c:v>4.2478742961356064E-2</c:v>
                </c:pt>
                <c:pt idx="82">
                  <c:v>3.8708260887560957E-2</c:v>
                </c:pt>
                <c:pt idx="83">
                  <c:v>3.5418084567173748E-2</c:v>
                </c:pt>
                <c:pt idx="84">
                  <c:v>3.2414502860150511E-2</c:v>
                </c:pt>
                <c:pt idx="85">
                  <c:v>2.9590728475248639E-2</c:v>
                </c:pt>
                <c:pt idx="86">
                  <c:v>2.7070022700178952E-2</c:v>
                </c:pt>
                <c:pt idx="87">
                  <c:v>2.4726937712864491E-2</c:v>
                </c:pt>
                <c:pt idx="88">
                  <c:v>2.2592881792097525E-2</c:v>
                </c:pt>
                <c:pt idx="89">
                  <c:v>2.0663568716402042E-2</c:v>
                </c:pt>
                <c:pt idx="90">
                  <c:v>1.8911778565512512E-2</c:v>
                </c:pt>
                <c:pt idx="91">
                  <c:v>1.7278496748655121E-2</c:v>
                </c:pt>
                <c:pt idx="92">
                  <c:v>1.5794392833729663E-2</c:v>
                </c:pt>
                <c:pt idx="93">
                  <c:v>1.4423323264914835E-2</c:v>
                </c:pt>
                <c:pt idx="94">
                  <c:v>1.3202008418689784E-2</c:v>
                </c:pt>
                <c:pt idx="95">
                  <c:v>1.205596653218907E-2</c:v>
                </c:pt>
                <c:pt idx="96">
                  <c:v>1.1026223599840427E-2</c:v>
                </c:pt>
                <c:pt idx="97">
                  <c:v>1.0079888265738912E-2</c:v>
                </c:pt>
                <c:pt idx="98">
                  <c:v>9.2094024813548364E-3</c:v>
                </c:pt>
                <c:pt idx="99">
                  <c:v>8.415729489498364E-3</c:v>
                </c:pt>
                <c:pt idx="100">
                  <c:v>7.7061604178313738E-3</c:v>
                </c:pt>
                <c:pt idx="101">
                  <c:v>7.0539319174159178E-3</c:v>
                </c:pt>
                <c:pt idx="102">
                  <c:v>6.4131608752835316E-3</c:v>
                </c:pt>
                <c:pt idx="103">
                  <c:v>5.8779101483962285E-3</c:v>
                </c:pt>
                <c:pt idx="104">
                  <c:v>5.3620569837525443E-3</c:v>
                </c:pt>
                <c:pt idx="105">
                  <c:v>4.9039905471772918E-3</c:v>
                </c:pt>
                <c:pt idx="106">
                  <c:v>4.4954783270400754E-3</c:v>
                </c:pt>
                <c:pt idx="107">
                  <c:v>4.1112835839431398E-3</c:v>
                </c:pt>
                <c:pt idx="108">
                  <c:v>3.7571186370267485E-3</c:v>
                </c:pt>
                <c:pt idx="109">
                  <c:v>3.4332270378101123E-3</c:v>
                </c:pt>
                <c:pt idx="110">
                  <c:v>3.1287682829075235E-3</c:v>
                </c:pt>
                <c:pt idx="111">
                  <c:v>2.8645076205297284E-3</c:v>
                </c:pt>
                <c:pt idx="112">
                  <c:v>2.6189245405402292E-3</c:v>
                </c:pt>
                <c:pt idx="113">
                  <c:v>2.3939323519717166E-3</c:v>
                </c:pt>
                <c:pt idx="114">
                  <c:v>2.1889000560844788E-3</c:v>
                </c:pt>
                <c:pt idx="115">
                  <c:v>2.002474605646184E-3</c:v>
                </c:pt>
                <c:pt idx="116">
                  <c:v>1.8304756877217576E-3</c:v>
                </c:pt>
                <c:pt idx="117">
                  <c:v>1.6734164623289749E-3</c:v>
                </c:pt>
                <c:pt idx="118">
                  <c:v>1.5412279328577386E-3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322496"/>
        <c:axId val="161431552"/>
      </c:scatterChart>
      <c:valAx>
        <c:axId val="161322496"/>
        <c:scaling>
          <c:orientation val="maxMin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Mercury Saturation, fraction pore space</a:t>
                </a:r>
              </a:p>
            </c:rich>
          </c:tx>
          <c:layout>
            <c:manualLayout>
              <c:xMode val="edge"/>
              <c:yMode val="edge"/>
              <c:x val="0.284037558685446"/>
              <c:y val="0.9407172928887246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161431552"/>
        <c:crossesAt val="1.0000000000000041E-3"/>
        <c:crossBetween val="midCat"/>
        <c:majorUnit val="0.2"/>
        <c:minorUnit val="0.1"/>
      </c:valAx>
      <c:valAx>
        <c:axId val="161431552"/>
        <c:scaling>
          <c:logBase val="10"/>
          <c:orientation val="minMax"/>
          <c:max val="1000"/>
          <c:min val="1.0000000000000041E-3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Pore Throat Radius, microns.</a:t>
                </a:r>
              </a:p>
            </c:rich>
          </c:tx>
          <c:layout>
            <c:manualLayout>
              <c:xMode val="edge"/>
              <c:yMode val="edge"/>
              <c:x val="1.7605633802816906E-2"/>
              <c:y val="0.288590956331800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161322496"/>
        <c:crosses val="max"/>
        <c:crossBetween val="midCat"/>
        <c:majorUnit val="10"/>
        <c:minorUnit val="10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16901411284906759"/>
          <c:y val="6.0402679443359433E-2"/>
          <c:w val="0.4260563032526869"/>
          <c:h val="9.395972963363406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505"/>
          </a:pPr>
          <a:endParaRPr lang="en-US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3175">
      <a:solidFill>
        <a:sysClr val="windowText" lastClr="000000"/>
      </a:solidFill>
    </a:ln>
  </c:spPr>
  <c:txPr>
    <a:bodyPr/>
    <a:lstStyle/>
    <a:p>
      <a:pPr>
        <a:defRPr sz="600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0">
                <a:latin typeface="Arial"/>
              </a:rPr>
              <a:t>Normalized  Data V.S. Pore Size Distrubition</a:t>
            </a:r>
          </a:p>
        </c:rich>
      </c:tx>
      <c:layout>
        <c:manualLayout>
          <c:xMode val="edge"/>
          <c:yMode val="edge"/>
          <c:x val="0.34320591413962531"/>
          <c:y val="5.31265197201520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30384661626489"/>
          <c:y val="0.16126507112319541"/>
          <c:w val="0.81528794194843257"/>
          <c:h val="0.67664041994752278"/>
        </c:manualLayout>
      </c:layout>
      <c:scatterChart>
        <c:scatterStyle val="lineMarker"/>
        <c:varyColors val="0"/>
        <c:ser>
          <c:idx val="0"/>
          <c:order val="0"/>
          <c:tx>
            <c:v>Normalized Pore Size Distribution</c:v>
          </c:tx>
          <c:spPr>
            <a:ln w="15875">
              <a:solidFill>
                <a:schemeClr val="dk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75000"/>
                </a:schemeClr>
              </a:solidFill>
              <a:ln>
                <a:solidFill>
                  <a:schemeClr val="dk2">
                    <a:lumMod val="75000"/>
                  </a:schemeClr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60.095133594900979</c:v>
                </c:pt>
                <c:pt idx="1">
                  <c:v>57.247093784440708</c:v>
                </c:pt>
                <c:pt idx="2">
                  <c:v>50.303836853714422</c:v>
                </c:pt>
                <c:pt idx="3">
                  <c:v>45.38009851218974</c:v>
                </c:pt>
                <c:pt idx="4">
                  <c:v>42.043528441874948</c:v>
                </c:pt>
                <c:pt idx="5">
                  <c:v>38.610483127398126</c:v>
                </c:pt>
                <c:pt idx="6">
                  <c:v>35.337891066673926</c:v>
                </c:pt>
                <c:pt idx="7">
                  <c:v>32.385982752339714</c:v>
                </c:pt>
                <c:pt idx="8">
                  <c:v>29.622185692463667</c:v>
                </c:pt>
                <c:pt idx="9">
                  <c:v>27.229166104324147</c:v>
                </c:pt>
                <c:pt idx="10">
                  <c:v>24.745290063198329</c:v>
                </c:pt>
                <c:pt idx="11">
                  <c:v>22.66381736360562</c:v>
                </c:pt>
                <c:pt idx="12">
                  <c:v>20.733111554203933</c:v>
                </c:pt>
                <c:pt idx="13">
                  <c:v>18.953535464726315</c:v>
                </c:pt>
                <c:pt idx="14">
                  <c:v>17.373337535705936</c:v>
                </c:pt>
                <c:pt idx="15">
                  <c:v>15.889488133274735</c:v>
                </c:pt>
                <c:pt idx="16">
                  <c:v>14.537266519496933</c:v>
                </c:pt>
                <c:pt idx="17">
                  <c:v>13.273644147324314</c:v>
                </c:pt>
                <c:pt idx="18">
                  <c:v>12.136389578861634</c:v>
                </c:pt>
                <c:pt idx="19">
                  <c:v>11.115465000697546</c:v>
                </c:pt>
                <c:pt idx="20">
                  <c:v>10.158639506343187</c:v>
                </c:pt>
                <c:pt idx="21">
                  <c:v>9.2809226182651603</c:v>
                </c:pt>
                <c:pt idx="22">
                  <c:v>8.4975956719716592</c:v>
                </c:pt>
                <c:pt idx="23">
                  <c:v>7.7105862765749196</c:v>
                </c:pt>
                <c:pt idx="24">
                  <c:v>7.116418376424086</c:v>
                </c:pt>
                <c:pt idx="25">
                  <c:v>6.4621377292679636</c:v>
                </c:pt>
                <c:pt idx="26">
                  <c:v>5.9234319886839737</c:v>
                </c:pt>
                <c:pt idx="27">
                  <c:v>5.4326208882006686</c:v>
                </c:pt>
                <c:pt idx="28">
                  <c:v>4.9634577226212917</c:v>
                </c:pt>
                <c:pt idx="29">
                  <c:v>4.5239906544132271</c:v>
                </c:pt>
                <c:pt idx="30">
                  <c:v>4.135893232672796</c:v>
                </c:pt>
                <c:pt idx="31">
                  <c:v>3.7786056272576007</c:v>
                </c:pt>
                <c:pt idx="32">
                  <c:v>3.4457571830154312</c:v>
                </c:pt>
                <c:pt idx="33">
                  <c:v>3.1640481259182751</c:v>
                </c:pt>
                <c:pt idx="34">
                  <c:v>3.0744229638073035</c:v>
                </c:pt>
                <c:pt idx="35">
                  <c:v>2.8140409854496813</c:v>
                </c:pt>
                <c:pt idx="36">
                  <c:v>2.5187807232990318</c:v>
                </c:pt>
                <c:pt idx="37">
                  <c:v>2.273013983837386</c:v>
                </c:pt>
                <c:pt idx="38">
                  <c:v>2.0709196657959734</c:v>
                </c:pt>
                <c:pt idx="39">
                  <c:v>1.8563409491798104</c:v>
                </c:pt>
                <c:pt idx="40">
                  <c:v>1.7609822073918782</c:v>
                </c:pt>
                <c:pt idx="41">
                  <c:v>1.5575207527805246</c:v>
                </c:pt>
                <c:pt idx="42">
                  <c:v>1.4352793684177618</c:v>
                </c:pt>
                <c:pt idx="43">
                  <c:v>1.2938493002416873</c:v>
                </c:pt>
                <c:pt idx="44">
                  <c:v>1.2099683660442997</c:v>
                </c:pt>
                <c:pt idx="45">
                  <c:v>1.1084431360447904</c:v>
                </c:pt>
                <c:pt idx="46">
                  <c:v>0.99745330122801923</c:v>
                </c:pt>
                <c:pt idx="47">
                  <c:v>0.90702738344903044</c:v>
                </c:pt>
                <c:pt idx="48">
                  <c:v>0.83222398235721018</c:v>
                </c:pt>
                <c:pt idx="49">
                  <c:v>0.76043385045314427</c:v>
                </c:pt>
                <c:pt idx="50">
                  <c:v>0.69351213831620928</c:v>
                </c:pt>
                <c:pt idx="51">
                  <c:v>0.63436613926702967</c:v>
                </c:pt>
                <c:pt idx="52">
                  <c:v>0.58006348928021845</c:v>
                </c:pt>
                <c:pt idx="53">
                  <c:v>0.52772113074172944</c:v>
                </c:pt>
                <c:pt idx="54">
                  <c:v>0.48264216885539263</c:v>
                </c:pt>
                <c:pt idx="55">
                  <c:v>0.44121117870233717</c:v>
                </c:pt>
                <c:pt idx="56">
                  <c:v>0.40331155026756599</c:v>
                </c:pt>
                <c:pt idx="57">
                  <c:v>0.3665998003737575</c:v>
                </c:pt>
                <c:pt idx="58">
                  <c:v>0.33557127311671137</c:v>
                </c:pt>
                <c:pt idx="59">
                  <c:v>0.30636157688669596</c:v>
                </c:pt>
                <c:pt idx="60">
                  <c:v>0.27998435646751457</c:v>
                </c:pt>
                <c:pt idx="61">
                  <c:v>0.25635451128396225</c:v>
                </c:pt>
                <c:pt idx="62">
                  <c:v>0.23399202292385707</c:v>
                </c:pt>
                <c:pt idx="63">
                  <c:v>0.21381444772355682</c:v>
                </c:pt>
                <c:pt idx="64">
                  <c:v>0.19533497946721606</c:v>
                </c:pt>
                <c:pt idx="65">
                  <c:v>0.17864088763236888</c:v>
                </c:pt>
                <c:pt idx="66">
                  <c:v>0.16327152111283114</c:v>
                </c:pt>
                <c:pt idx="67">
                  <c:v>0.14938322065356949</c:v>
                </c:pt>
                <c:pt idx="68">
                  <c:v>0.13640975815624226</c:v>
                </c:pt>
                <c:pt idx="69">
                  <c:v>0.12470601555997378</c:v>
                </c:pt>
                <c:pt idx="70">
                  <c:v>0.11393685439956483</c:v>
                </c:pt>
                <c:pt idx="71">
                  <c:v>0.10423722590089478</c:v>
                </c:pt>
                <c:pt idx="72">
                  <c:v>9.5208777283871032E-2</c:v>
                </c:pt>
                <c:pt idx="73">
                  <c:v>8.7387976865084108E-2</c:v>
                </c:pt>
                <c:pt idx="74">
                  <c:v>7.9814863927043955E-2</c:v>
                </c:pt>
                <c:pt idx="75">
                  <c:v>7.2797064385991234E-2</c:v>
                </c:pt>
                <c:pt idx="76">
                  <c:v>6.6466721246542015E-2</c:v>
                </c:pt>
                <c:pt idx="77">
                  <c:v>6.0744356819749885E-2</c:v>
                </c:pt>
                <c:pt idx="78">
                  <c:v>5.5650979978721204E-2</c:v>
                </c:pt>
                <c:pt idx="79">
                  <c:v>5.0649020903830153E-2</c:v>
                </c:pt>
                <c:pt idx="80">
                  <c:v>4.6334999108433167E-2</c:v>
                </c:pt>
                <c:pt idx="81">
                  <c:v>4.2478742961356064E-2</c:v>
                </c:pt>
                <c:pt idx="82">
                  <c:v>3.8708260887560957E-2</c:v>
                </c:pt>
                <c:pt idx="83">
                  <c:v>3.5418084567173748E-2</c:v>
                </c:pt>
                <c:pt idx="84">
                  <c:v>3.2414502860150511E-2</c:v>
                </c:pt>
                <c:pt idx="85">
                  <c:v>2.9590728475248639E-2</c:v>
                </c:pt>
                <c:pt idx="86">
                  <c:v>2.7070022700178952E-2</c:v>
                </c:pt>
                <c:pt idx="87">
                  <c:v>2.4726937712864491E-2</c:v>
                </c:pt>
                <c:pt idx="88">
                  <c:v>2.2592881792097525E-2</c:v>
                </c:pt>
                <c:pt idx="89">
                  <c:v>2.0663568716402042E-2</c:v>
                </c:pt>
                <c:pt idx="90">
                  <c:v>1.8911778565512512E-2</c:v>
                </c:pt>
                <c:pt idx="91">
                  <c:v>1.7278496748655121E-2</c:v>
                </c:pt>
                <c:pt idx="92">
                  <c:v>1.5794392833729663E-2</c:v>
                </c:pt>
                <c:pt idx="93">
                  <c:v>1.4423323264914835E-2</c:v>
                </c:pt>
                <c:pt idx="94">
                  <c:v>1.3202008418689784E-2</c:v>
                </c:pt>
                <c:pt idx="95">
                  <c:v>1.205596653218907E-2</c:v>
                </c:pt>
                <c:pt idx="96">
                  <c:v>1.1026223599840427E-2</c:v>
                </c:pt>
                <c:pt idx="97">
                  <c:v>1.0079888265738912E-2</c:v>
                </c:pt>
                <c:pt idx="98">
                  <c:v>9.2094024813548364E-3</c:v>
                </c:pt>
                <c:pt idx="99">
                  <c:v>8.415729489498364E-3</c:v>
                </c:pt>
                <c:pt idx="100">
                  <c:v>7.7061604178313738E-3</c:v>
                </c:pt>
                <c:pt idx="101">
                  <c:v>7.0539319174159178E-3</c:v>
                </c:pt>
                <c:pt idx="102">
                  <c:v>6.4131608752835316E-3</c:v>
                </c:pt>
                <c:pt idx="103">
                  <c:v>5.8779101483962285E-3</c:v>
                </c:pt>
                <c:pt idx="104">
                  <c:v>5.3620569837525443E-3</c:v>
                </c:pt>
                <c:pt idx="105">
                  <c:v>4.9039905471772918E-3</c:v>
                </c:pt>
                <c:pt idx="106">
                  <c:v>4.4954783270400754E-3</c:v>
                </c:pt>
                <c:pt idx="107">
                  <c:v>4.1112835839431398E-3</c:v>
                </c:pt>
                <c:pt idx="108">
                  <c:v>3.7571186370267485E-3</c:v>
                </c:pt>
                <c:pt idx="109">
                  <c:v>3.4332270378101123E-3</c:v>
                </c:pt>
                <c:pt idx="110">
                  <c:v>3.1287682829075235E-3</c:v>
                </c:pt>
                <c:pt idx="111">
                  <c:v>2.8645076205297284E-3</c:v>
                </c:pt>
                <c:pt idx="112">
                  <c:v>2.6189245405402292E-3</c:v>
                </c:pt>
                <c:pt idx="113">
                  <c:v>2.3939323519717166E-3</c:v>
                </c:pt>
                <c:pt idx="114">
                  <c:v>2.1889000560844788E-3</c:v>
                </c:pt>
                <c:pt idx="115">
                  <c:v>2.002474605646184E-3</c:v>
                </c:pt>
                <c:pt idx="116">
                  <c:v>1.8304756877217576E-3</c:v>
                </c:pt>
                <c:pt idx="117">
                  <c:v>1.6734164623289749E-3</c:v>
                </c:pt>
                <c:pt idx="118">
                  <c:v>1.5412279328577386E-3</c:v>
                </c:pt>
              </c:numCache>
            </c:numRef>
          </c:xVal>
          <c:yVal>
            <c:numRef>
              <c:f>Table!$S$18:$S$136</c:f>
              <c:numCache>
                <c:formatCode>????0.000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6.6626287098728075E-3</c:v>
                </c:pt>
                <c:pt idx="40">
                  <c:v>7.8740157480314977E-3</c:v>
                </c:pt>
                <c:pt idx="41">
                  <c:v>1.8776499091459731E-2</c:v>
                </c:pt>
                <c:pt idx="42">
                  <c:v>3.2101756511205344E-2</c:v>
                </c:pt>
                <c:pt idx="43">
                  <c:v>5.2089642640823774E-2</c:v>
                </c:pt>
                <c:pt idx="44">
                  <c:v>0.11871592973955182</c:v>
                </c:pt>
                <c:pt idx="45">
                  <c:v>0.32465172622652949</c:v>
                </c:pt>
                <c:pt idx="46">
                  <c:v>0.61538461538461575</c:v>
                </c:pt>
                <c:pt idx="47">
                  <c:v>0.85523924894003645</c:v>
                </c:pt>
                <c:pt idx="48">
                  <c:v>1</c:v>
                </c:pt>
                <c:pt idx="49">
                  <c:v>0.67050272562083668</c:v>
                </c:pt>
                <c:pt idx="50">
                  <c:v>0.336765596608116</c:v>
                </c:pt>
                <c:pt idx="51">
                  <c:v>0.25015142337977009</c:v>
                </c:pt>
                <c:pt idx="52">
                  <c:v>0.24046032707450077</c:v>
                </c:pt>
                <c:pt idx="53">
                  <c:v>0.21441550575408871</c:v>
                </c:pt>
                <c:pt idx="54">
                  <c:v>0.20048455481526345</c:v>
                </c:pt>
                <c:pt idx="55">
                  <c:v>0.17989097516656583</c:v>
                </c:pt>
                <c:pt idx="56">
                  <c:v>0.17746820109024836</c:v>
                </c:pt>
                <c:pt idx="57">
                  <c:v>0.16535433070866157</c:v>
                </c:pt>
                <c:pt idx="58">
                  <c:v>0.1532404603270737</c:v>
                </c:pt>
                <c:pt idx="59">
                  <c:v>0.14173228346456754</c:v>
                </c:pt>
                <c:pt idx="60">
                  <c:v>0.1350696547546941</c:v>
                </c:pt>
                <c:pt idx="61">
                  <c:v>0.13809812235009053</c:v>
                </c:pt>
                <c:pt idx="62">
                  <c:v>0.13082980012113979</c:v>
                </c:pt>
                <c:pt idx="63">
                  <c:v>0.12901271956390017</c:v>
                </c:pt>
                <c:pt idx="64">
                  <c:v>0.12235009085402893</c:v>
                </c:pt>
                <c:pt idx="65">
                  <c:v>0.12477286493034474</c:v>
                </c:pt>
                <c:pt idx="66">
                  <c:v>0.12537855844942425</c:v>
                </c:pt>
                <c:pt idx="67">
                  <c:v>0.12113870381586991</c:v>
                </c:pt>
                <c:pt idx="68">
                  <c:v>0.12174439733494832</c:v>
                </c:pt>
                <c:pt idx="69">
                  <c:v>0.1187159297395519</c:v>
                </c:pt>
                <c:pt idx="70">
                  <c:v>0.11205330102967957</c:v>
                </c:pt>
                <c:pt idx="71">
                  <c:v>0.11205330102967846</c:v>
                </c:pt>
                <c:pt idx="72">
                  <c:v>0.11084191399152056</c:v>
                </c:pt>
                <c:pt idx="73">
                  <c:v>0.10539067231980613</c:v>
                </c:pt>
                <c:pt idx="74">
                  <c:v>0.10963052695336155</c:v>
                </c:pt>
                <c:pt idx="75">
                  <c:v>0.10720775287704354</c:v>
                </c:pt>
                <c:pt idx="76">
                  <c:v>0.10599636583888562</c:v>
                </c:pt>
                <c:pt idx="77">
                  <c:v>9.6910963052695268E-2</c:v>
                </c:pt>
                <c:pt idx="78">
                  <c:v>9.3882495457299958E-2</c:v>
                </c:pt>
                <c:pt idx="79">
                  <c:v>9.8122350090853183E-2</c:v>
                </c:pt>
                <c:pt idx="80">
                  <c:v>8.964264082374343E-2</c:v>
                </c:pt>
                <c:pt idx="81">
                  <c:v>8.2980012113869989E-2</c:v>
                </c:pt>
                <c:pt idx="82">
                  <c:v>8.6614173228347011E-2</c:v>
                </c:pt>
                <c:pt idx="83">
                  <c:v>8.3585705632949495E-2</c:v>
                </c:pt>
                <c:pt idx="84">
                  <c:v>8.1162931556631485E-2</c:v>
                </c:pt>
                <c:pt idx="85">
                  <c:v>8.4797092671108507E-2</c:v>
                </c:pt>
                <c:pt idx="86">
                  <c:v>7.9345850999395173E-2</c:v>
                </c:pt>
                <c:pt idx="87">
                  <c:v>8.1162931556632581E-2</c:v>
                </c:pt>
                <c:pt idx="88">
                  <c:v>7.8134463961235065E-2</c:v>
                </c:pt>
                <c:pt idx="89">
                  <c:v>7.8740157480314571E-2</c:v>
                </c:pt>
                <c:pt idx="90">
                  <c:v>7.3894609327680744E-2</c:v>
                </c:pt>
                <c:pt idx="91">
                  <c:v>7.8740157480315667E-2</c:v>
                </c:pt>
                <c:pt idx="92">
                  <c:v>6.3597819503331376E-2</c:v>
                </c:pt>
                <c:pt idx="93">
                  <c:v>6.7231980617807302E-2</c:v>
                </c:pt>
                <c:pt idx="94">
                  <c:v>6.4809206541490388E-2</c:v>
                </c:pt>
                <c:pt idx="95">
                  <c:v>6.4203513022409772E-2</c:v>
                </c:pt>
                <c:pt idx="96">
                  <c:v>6.0569351907934957E-2</c:v>
                </c:pt>
                <c:pt idx="97">
                  <c:v>5.8146577831616947E-2</c:v>
                </c:pt>
                <c:pt idx="98">
                  <c:v>5.3906723198061515E-2</c:v>
                </c:pt>
                <c:pt idx="99">
                  <c:v>5.2089642640825211E-2</c:v>
                </c:pt>
                <c:pt idx="100">
                  <c:v>4.6638400969108575E-2</c:v>
                </c:pt>
                <c:pt idx="101">
                  <c:v>4.3609933373713258E-2</c:v>
                </c:pt>
                <c:pt idx="102">
                  <c:v>4.239854633555315E-2</c:v>
                </c:pt>
                <c:pt idx="103">
                  <c:v>3.8764385221079431E-2</c:v>
                </c:pt>
                <c:pt idx="104">
                  <c:v>3.5130224106602409E-2</c:v>
                </c:pt>
                <c:pt idx="105">
                  <c:v>3.3918837068442301E-2</c:v>
                </c:pt>
                <c:pt idx="106">
                  <c:v>2.9073288915809577E-2</c:v>
                </c:pt>
                <c:pt idx="107">
                  <c:v>1.6353725015142196E-2</c:v>
                </c:pt>
                <c:pt idx="108">
                  <c:v>2.5439127801332551E-2</c:v>
                </c:pt>
                <c:pt idx="109">
                  <c:v>1.8776499091460213E-2</c:v>
                </c:pt>
                <c:pt idx="110">
                  <c:v>1.5748031496062694E-2</c:v>
                </c:pt>
                <c:pt idx="111">
                  <c:v>1.3930950938824181E-2</c:v>
                </c:pt>
                <c:pt idx="112">
                  <c:v>9.6910963052698577E-3</c:v>
                </c:pt>
                <c:pt idx="113">
                  <c:v>7.2683222289518425E-3</c:v>
                </c:pt>
                <c:pt idx="114">
                  <c:v>9.0854027861903535E-3</c:v>
                </c:pt>
                <c:pt idx="115">
                  <c:v>4.2398546335565279E-3</c:v>
                </c:pt>
                <c:pt idx="116">
                  <c:v>1.817080557237409E-3</c:v>
                </c:pt>
                <c:pt idx="117">
                  <c:v>0</c:v>
                </c:pt>
                <c:pt idx="1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439104"/>
        <c:axId val="161453952"/>
      </c:scatterChart>
      <c:valAx>
        <c:axId val="161439104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Pore Throat Radius (Microns)</a:t>
                </a:r>
              </a:p>
            </c:rich>
          </c:tx>
          <c:layout>
            <c:manualLayout>
              <c:xMode val="edge"/>
              <c:yMode val="edge"/>
              <c:x val="0.40037962382730313"/>
              <c:y val="0.92577462934190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161453952"/>
        <c:crosses val="autoZero"/>
        <c:crossBetween val="midCat"/>
      </c:valAx>
      <c:valAx>
        <c:axId val="161453952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Dristubition Function</a:t>
                </a:r>
              </a:p>
            </c:rich>
          </c:tx>
          <c:layout>
            <c:manualLayout>
              <c:xMode val="edge"/>
              <c:yMode val="edge"/>
              <c:x val="3.5392202272293852E-2"/>
              <c:y val="0.30886858206270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161439104"/>
        <c:crossesAt val="1.0000000000000041E-3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chemeClr val="dk1"/>
      </a:solidFill>
    </a:ln>
  </c:spPr>
  <c:txPr>
    <a:bodyPr/>
    <a:lstStyle/>
    <a:p>
      <a:pPr>
        <a:defRPr sz="8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844" r="0.75000000000000844" t="1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1">
                <a:latin typeface="Arial"/>
              </a:rPr>
              <a:t>Saturation vs Log Pore Throat Size</a:t>
            </a:r>
          </a:p>
        </c:rich>
      </c:tx>
      <c:layout>
        <c:manualLayout>
          <c:xMode val="edge"/>
          <c:yMode val="edge"/>
          <c:x val="0.33093532012654897"/>
          <c:y val="3.1042222084444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664490420478818"/>
          <c:y val="0.10419268510258722"/>
          <c:w val="0.79829436705027268"/>
          <c:h val="0.76090414211159918"/>
        </c:manualLayout>
      </c:layout>
      <c:scatterChart>
        <c:scatterStyle val="smoothMarker"/>
        <c:varyColors val="0"/>
        <c:ser>
          <c:idx val="0"/>
          <c:order val="0"/>
          <c:tx>
            <c:v>Sat. (Frac)</c:v>
          </c:tx>
          <c:spPr>
            <a:ln w="12700">
              <a:solidFill>
                <a:srgbClr val="800080"/>
              </a:solidFill>
            </a:ln>
          </c:spPr>
          <c:marker>
            <c:symbol val="diamond"/>
            <c:size val="3"/>
            <c:spPr>
              <a:solidFill>
                <a:srgbClr val="800080"/>
              </a:solidFill>
              <a:ln>
                <a:solidFill>
                  <a:srgbClr val="800080"/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60.095133594900979</c:v>
                </c:pt>
                <c:pt idx="1">
                  <c:v>57.247093784440708</c:v>
                </c:pt>
                <c:pt idx="2">
                  <c:v>50.303836853714422</c:v>
                </c:pt>
                <c:pt idx="3">
                  <c:v>45.38009851218974</c:v>
                </c:pt>
                <c:pt idx="4">
                  <c:v>42.043528441874948</c:v>
                </c:pt>
                <c:pt idx="5">
                  <c:v>38.610483127398126</c:v>
                </c:pt>
                <c:pt idx="6">
                  <c:v>35.337891066673926</c:v>
                </c:pt>
                <c:pt idx="7">
                  <c:v>32.385982752339714</c:v>
                </c:pt>
                <c:pt idx="8">
                  <c:v>29.622185692463667</c:v>
                </c:pt>
                <c:pt idx="9">
                  <c:v>27.229166104324147</c:v>
                </c:pt>
                <c:pt idx="10">
                  <c:v>24.745290063198329</c:v>
                </c:pt>
                <c:pt idx="11">
                  <c:v>22.66381736360562</c:v>
                </c:pt>
                <c:pt idx="12">
                  <c:v>20.733111554203933</c:v>
                </c:pt>
                <c:pt idx="13">
                  <c:v>18.953535464726315</c:v>
                </c:pt>
                <c:pt idx="14">
                  <c:v>17.373337535705936</c:v>
                </c:pt>
                <c:pt idx="15">
                  <c:v>15.889488133274735</c:v>
                </c:pt>
                <c:pt idx="16">
                  <c:v>14.537266519496933</c:v>
                </c:pt>
                <c:pt idx="17">
                  <c:v>13.273644147324314</c:v>
                </c:pt>
                <c:pt idx="18">
                  <c:v>12.136389578861634</c:v>
                </c:pt>
                <c:pt idx="19">
                  <c:v>11.115465000697546</c:v>
                </c:pt>
                <c:pt idx="20">
                  <c:v>10.158639506343187</c:v>
                </c:pt>
                <c:pt idx="21">
                  <c:v>9.2809226182651603</c:v>
                </c:pt>
                <c:pt idx="22">
                  <c:v>8.4975956719716592</c:v>
                </c:pt>
                <c:pt idx="23">
                  <c:v>7.7105862765749196</c:v>
                </c:pt>
                <c:pt idx="24">
                  <c:v>7.116418376424086</c:v>
                </c:pt>
                <c:pt idx="25">
                  <c:v>6.4621377292679636</c:v>
                </c:pt>
                <c:pt idx="26">
                  <c:v>5.9234319886839737</c:v>
                </c:pt>
                <c:pt idx="27">
                  <c:v>5.4326208882006686</c:v>
                </c:pt>
                <c:pt idx="28">
                  <c:v>4.9634577226212917</c:v>
                </c:pt>
                <c:pt idx="29">
                  <c:v>4.5239906544132271</c:v>
                </c:pt>
                <c:pt idx="30">
                  <c:v>4.135893232672796</c:v>
                </c:pt>
                <c:pt idx="31">
                  <c:v>3.7786056272576007</c:v>
                </c:pt>
                <c:pt idx="32">
                  <c:v>3.4457571830154312</c:v>
                </c:pt>
                <c:pt idx="33">
                  <c:v>3.1640481259182751</c:v>
                </c:pt>
                <c:pt idx="34">
                  <c:v>3.0744229638073035</c:v>
                </c:pt>
                <c:pt idx="35">
                  <c:v>2.8140409854496813</c:v>
                </c:pt>
                <c:pt idx="36">
                  <c:v>2.5187807232990318</c:v>
                </c:pt>
                <c:pt idx="37">
                  <c:v>2.273013983837386</c:v>
                </c:pt>
                <c:pt idx="38">
                  <c:v>2.0709196657959734</c:v>
                </c:pt>
                <c:pt idx="39">
                  <c:v>1.8563409491798104</c:v>
                </c:pt>
                <c:pt idx="40">
                  <c:v>1.7609822073918782</c:v>
                </c:pt>
                <c:pt idx="41">
                  <c:v>1.5575207527805246</c:v>
                </c:pt>
                <c:pt idx="42">
                  <c:v>1.4352793684177618</c:v>
                </c:pt>
                <c:pt idx="43">
                  <c:v>1.2938493002416873</c:v>
                </c:pt>
                <c:pt idx="44">
                  <c:v>1.2099683660442997</c:v>
                </c:pt>
                <c:pt idx="45">
                  <c:v>1.1084431360447904</c:v>
                </c:pt>
                <c:pt idx="46">
                  <c:v>0.99745330122801923</c:v>
                </c:pt>
                <c:pt idx="47">
                  <c:v>0.90702738344903044</c:v>
                </c:pt>
                <c:pt idx="48">
                  <c:v>0.83222398235721018</c:v>
                </c:pt>
                <c:pt idx="49">
                  <c:v>0.76043385045314427</c:v>
                </c:pt>
                <c:pt idx="50">
                  <c:v>0.69351213831620928</c:v>
                </c:pt>
                <c:pt idx="51">
                  <c:v>0.63436613926702967</c:v>
                </c:pt>
                <c:pt idx="52">
                  <c:v>0.58006348928021845</c:v>
                </c:pt>
                <c:pt idx="53">
                  <c:v>0.52772113074172944</c:v>
                </c:pt>
                <c:pt idx="54">
                  <c:v>0.48264216885539263</c:v>
                </c:pt>
                <c:pt idx="55">
                  <c:v>0.44121117870233717</c:v>
                </c:pt>
                <c:pt idx="56">
                  <c:v>0.40331155026756599</c:v>
                </c:pt>
                <c:pt idx="57">
                  <c:v>0.3665998003737575</c:v>
                </c:pt>
                <c:pt idx="58">
                  <c:v>0.33557127311671137</c:v>
                </c:pt>
                <c:pt idx="59">
                  <c:v>0.30636157688669596</c:v>
                </c:pt>
                <c:pt idx="60">
                  <c:v>0.27998435646751457</c:v>
                </c:pt>
                <c:pt idx="61">
                  <c:v>0.25635451128396225</c:v>
                </c:pt>
                <c:pt idx="62">
                  <c:v>0.23399202292385707</c:v>
                </c:pt>
                <c:pt idx="63">
                  <c:v>0.21381444772355682</c:v>
                </c:pt>
                <c:pt idx="64">
                  <c:v>0.19533497946721606</c:v>
                </c:pt>
                <c:pt idx="65">
                  <c:v>0.17864088763236888</c:v>
                </c:pt>
                <c:pt idx="66">
                  <c:v>0.16327152111283114</c:v>
                </c:pt>
                <c:pt idx="67">
                  <c:v>0.14938322065356949</c:v>
                </c:pt>
                <c:pt idx="68">
                  <c:v>0.13640975815624226</c:v>
                </c:pt>
                <c:pt idx="69">
                  <c:v>0.12470601555997378</c:v>
                </c:pt>
                <c:pt idx="70">
                  <c:v>0.11393685439956483</c:v>
                </c:pt>
                <c:pt idx="71">
                  <c:v>0.10423722590089478</c:v>
                </c:pt>
                <c:pt idx="72">
                  <c:v>9.5208777283871032E-2</c:v>
                </c:pt>
                <c:pt idx="73">
                  <c:v>8.7387976865084108E-2</c:v>
                </c:pt>
                <c:pt idx="74">
                  <c:v>7.9814863927043955E-2</c:v>
                </c:pt>
                <c:pt idx="75">
                  <c:v>7.2797064385991234E-2</c:v>
                </c:pt>
                <c:pt idx="76">
                  <c:v>6.6466721246542015E-2</c:v>
                </c:pt>
                <c:pt idx="77">
                  <c:v>6.0744356819749885E-2</c:v>
                </c:pt>
                <c:pt idx="78">
                  <c:v>5.5650979978721204E-2</c:v>
                </c:pt>
                <c:pt idx="79">
                  <c:v>5.0649020903830153E-2</c:v>
                </c:pt>
                <c:pt idx="80">
                  <c:v>4.6334999108433167E-2</c:v>
                </c:pt>
                <c:pt idx="81">
                  <c:v>4.2478742961356064E-2</c:v>
                </c:pt>
                <c:pt idx="82">
                  <c:v>3.8708260887560957E-2</c:v>
                </c:pt>
                <c:pt idx="83">
                  <c:v>3.5418084567173748E-2</c:v>
                </c:pt>
                <c:pt idx="84">
                  <c:v>3.2414502860150511E-2</c:v>
                </c:pt>
                <c:pt idx="85">
                  <c:v>2.9590728475248639E-2</c:v>
                </c:pt>
                <c:pt idx="86">
                  <c:v>2.7070022700178952E-2</c:v>
                </c:pt>
                <c:pt idx="87">
                  <c:v>2.4726937712864491E-2</c:v>
                </c:pt>
                <c:pt idx="88">
                  <c:v>2.2592881792097525E-2</c:v>
                </c:pt>
                <c:pt idx="89">
                  <c:v>2.0663568716402042E-2</c:v>
                </c:pt>
                <c:pt idx="90">
                  <c:v>1.8911778565512512E-2</c:v>
                </c:pt>
                <c:pt idx="91">
                  <c:v>1.7278496748655121E-2</c:v>
                </c:pt>
                <c:pt idx="92">
                  <c:v>1.5794392833729663E-2</c:v>
                </c:pt>
                <c:pt idx="93">
                  <c:v>1.4423323264914835E-2</c:v>
                </c:pt>
                <c:pt idx="94">
                  <c:v>1.3202008418689784E-2</c:v>
                </c:pt>
                <c:pt idx="95">
                  <c:v>1.205596653218907E-2</c:v>
                </c:pt>
                <c:pt idx="96">
                  <c:v>1.1026223599840427E-2</c:v>
                </c:pt>
                <c:pt idx="97">
                  <c:v>1.0079888265738912E-2</c:v>
                </c:pt>
                <c:pt idx="98">
                  <c:v>9.2094024813548364E-3</c:v>
                </c:pt>
                <c:pt idx="99">
                  <c:v>8.415729489498364E-3</c:v>
                </c:pt>
                <c:pt idx="100">
                  <c:v>7.7061604178313738E-3</c:v>
                </c:pt>
                <c:pt idx="101">
                  <c:v>7.0539319174159178E-3</c:v>
                </c:pt>
                <c:pt idx="102">
                  <c:v>6.4131608752835316E-3</c:v>
                </c:pt>
                <c:pt idx="103">
                  <c:v>5.8779101483962285E-3</c:v>
                </c:pt>
                <c:pt idx="104">
                  <c:v>5.3620569837525443E-3</c:v>
                </c:pt>
                <c:pt idx="105">
                  <c:v>4.9039905471772918E-3</c:v>
                </c:pt>
                <c:pt idx="106">
                  <c:v>4.4954783270400754E-3</c:v>
                </c:pt>
                <c:pt idx="107">
                  <c:v>4.1112835839431398E-3</c:v>
                </c:pt>
                <c:pt idx="108">
                  <c:v>3.7571186370267485E-3</c:v>
                </c:pt>
                <c:pt idx="109">
                  <c:v>3.4332270378101123E-3</c:v>
                </c:pt>
                <c:pt idx="110">
                  <c:v>3.1287682829075235E-3</c:v>
                </c:pt>
                <c:pt idx="111">
                  <c:v>2.8645076205297284E-3</c:v>
                </c:pt>
                <c:pt idx="112">
                  <c:v>2.6189245405402292E-3</c:v>
                </c:pt>
                <c:pt idx="113">
                  <c:v>2.3939323519717166E-3</c:v>
                </c:pt>
                <c:pt idx="114">
                  <c:v>2.1889000560844788E-3</c:v>
                </c:pt>
                <c:pt idx="115">
                  <c:v>2.002474605646184E-3</c:v>
                </c:pt>
                <c:pt idx="116">
                  <c:v>1.8304756877217576E-3</c:v>
                </c:pt>
                <c:pt idx="117">
                  <c:v>1.6734164623289749E-3</c:v>
                </c:pt>
                <c:pt idx="118">
                  <c:v>1.5412279328577386E-3</c:v>
                </c:pt>
              </c:numCache>
            </c:numRef>
          </c:xVal>
          <c:yVal>
            <c:numRef>
              <c:f>'Raw Data'!$E$18:$E$136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6.7052727826881855E-4</c:v>
                </c:pt>
                <c:pt idx="40">
                  <c:v>1.4629686071319715E-3</c:v>
                </c:pt>
                <c:pt idx="41">
                  <c:v>3.3526363913441012E-3</c:v>
                </c:pt>
                <c:pt idx="42">
                  <c:v>6.5833587320938717E-3</c:v>
                </c:pt>
                <c:pt idx="43">
                  <c:v>1.1825662907650102E-2</c:v>
                </c:pt>
                <c:pt idx="44">
                  <c:v>2.3773239865894542E-2</c:v>
                </c:pt>
                <c:pt idx="45">
                  <c:v>5.6446205425175255E-2</c:v>
                </c:pt>
                <c:pt idx="46">
                  <c:v>0.11837854312709541</c:v>
                </c:pt>
                <c:pt idx="47">
                  <c:v>0.20444986284669306</c:v>
                </c:pt>
                <c:pt idx="48">
                  <c:v>0.30508991161231325</c:v>
                </c:pt>
                <c:pt idx="49">
                  <c:v>0.3725693386162755</c:v>
                </c:pt>
                <c:pt idx="50">
                  <c:v>0.40646144468149947</c:v>
                </c:pt>
                <c:pt idx="51">
                  <c:v>0.43163669612922884</c:v>
                </c:pt>
                <c:pt idx="52">
                  <c:v>0.45583663517220357</c:v>
                </c:pt>
                <c:pt idx="53">
                  <c:v>0.47741542212740018</c:v>
                </c:pt>
                <c:pt idx="54">
                  <c:v>0.49759219750076195</c:v>
                </c:pt>
                <c:pt idx="55">
                  <c:v>0.5156964340140201</c:v>
                </c:pt>
                <c:pt idx="56">
                  <c:v>0.53355684242608958</c:v>
                </c:pt>
                <c:pt idx="57">
                  <c:v>0.55019811033221577</c:v>
                </c:pt>
                <c:pt idx="58">
                  <c:v>0.56562023773239856</c:v>
                </c:pt>
                <c:pt idx="59">
                  <c:v>0.57988418165193534</c:v>
                </c:pt>
                <c:pt idx="60">
                  <c:v>0.59347759829320323</c:v>
                </c:pt>
                <c:pt idx="61">
                  <c:v>0.60737580006095693</c:v>
                </c:pt>
                <c:pt idx="62">
                  <c:v>0.62054251752514478</c:v>
                </c:pt>
                <c:pt idx="63">
                  <c:v>0.63352636391344097</c:v>
                </c:pt>
                <c:pt idx="64">
                  <c:v>0.6458396830234685</c:v>
                </c:pt>
                <c:pt idx="65">
                  <c:v>0.65839683023468454</c:v>
                </c:pt>
                <c:pt idx="66">
                  <c:v>0.67101493447119775</c:v>
                </c:pt>
                <c:pt idx="67">
                  <c:v>0.68320633953063092</c:v>
                </c:pt>
                <c:pt idx="68">
                  <c:v>0.69545870161536116</c:v>
                </c:pt>
                <c:pt idx="69">
                  <c:v>0.70740627857360561</c:v>
                </c:pt>
                <c:pt idx="70">
                  <c:v>0.71868332825358128</c:v>
                </c:pt>
                <c:pt idx="71">
                  <c:v>0.72996037793355684</c:v>
                </c:pt>
                <c:pt idx="72">
                  <c:v>0.74111551356293814</c:v>
                </c:pt>
                <c:pt idx="73">
                  <c:v>0.75172203596464493</c:v>
                </c:pt>
                <c:pt idx="74">
                  <c:v>0.76275525754343187</c:v>
                </c:pt>
                <c:pt idx="75">
                  <c:v>0.77354465102103009</c:v>
                </c:pt>
                <c:pt idx="76">
                  <c:v>0.78421213044803406</c:v>
                </c:pt>
                <c:pt idx="77">
                  <c:v>0.79396525449558053</c:v>
                </c:pt>
                <c:pt idx="78">
                  <c:v>0.80341359341664131</c:v>
                </c:pt>
                <c:pt idx="79">
                  <c:v>0.81328863151478203</c:v>
                </c:pt>
                <c:pt idx="80">
                  <c:v>0.82231027125876255</c:v>
                </c:pt>
                <c:pt idx="81">
                  <c:v>0.83066138372447418</c:v>
                </c:pt>
                <c:pt idx="82">
                  <c:v>0.8393782383419689</c:v>
                </c:pt>
                <c:pt idx="83">
                  <c:v>0.84779030783297771</c:v>
                </c:pt>
                <c:pt idx="84">
                  <c:v>0.85595854922279779</c:v>
                </c:pt>
                <c:pt idx="85">
                  <c:v>0.86449253276440097</c:v>
                </c:pt>
                <c:pt idx="86">
                  <c:v>0.87247790307832973</c:v>
                </c:pt>
                <c:pt idx="87">
                  <c:v>0.88064614446814993</c:v>
                </c:pt>
                <c:pt idx="88">
                  <c:v>0.88850960073148422</c:v>
                </c:pt>
                <c:pt idx="89">
                  <c:v>0.89643401402011569</c:v>
                </c:pt>
                <c:pt idx="90">
                  <c:v>0.90387077110636993</c:v>
                </c:pt>
                <c:pt idx="91">
                  <c:v>0.91179518439500151</c:v>
                </c:pt>
                <c:pt idx="92">
                  <c:v>0.91819567205120389</c:v>
                </c:pt>
                <c:pt idx="93">
                  <c:v>0.92496190185918925</c:v>
                </c:pt>
                <c:pt idx="94">
                  <c:v>0.93148430356598599</c:v>
                </c:pt>
                <c:pt idx="95">
                  <c:v>0.93794574824748544</c:v>
                </c:pt>
                <c:pt idx="96">
                  <c:v>0.94404145077720203</c:v>
                </c:pt>
                <c:pt idx="97">
                  <c:v>0.94989332520572989</c:v>
                </c:pt>
                <c:pt idx="98">
                  <c:v>0.95531850045717759</c:v>
                </c:pt>
                <c:pt idx="99">
                  <c:v>0.96056080463273397</c:v>
                </c:pt>
                <c:pt idx="100">
                  <c:v>0.9652544955806156</c:v>
                </c:pt>
                <c:pt idx="101">
                  <c:v>0.96964340140201155</c:v>
                </c:pt>
                <c:pt idx="102">
                  <c:v>0.97391039317281303</c:v>
                </c:pt>
                <c:pt idx="103">
                  <c:v>0.97781164279183175</c:v>
                </c:pt>
                <c:pt idx="104">
                  <c:v>0.98134715025906738</c:v>
                </c:pt>
                <c:pt idx="105">
                  <c:v>0.98476074367570854</c:v>
                </c:pt>
                <c:pt idx="106">
                  <c:v>0.98768668088997258</c:v>
                </c:pt>
                <c:pt idx="107">
                  <c:v>0.98933252057299603</c:v>
                </c:pt>
                <c:pt idx="108">
                  <c:v>0.99189271563547698</c:v>
                </c:pt>
                <c:pt idx="109">
                  <c:v>0.99378238341968916</c:v>
                </c:pt>
                <c:pt idx="110">
                  <c:v>0.99536726607741544</c:v>
                </c:pt>
                <c:pt idx="111">
                  <c:v>0.99676927765925016</c:v>
                </c:pt>
                <c:pt idx="112">
                  <c:v>0.99774459006400484</c:v>
                </c:pt>
                <c:pt idx="113">
                  <c:v>0.9984760743675708</c:v>
                </c:pt>
                <c:pt idx="114">
                  <c:v>0.9993904297470283</c:v>
                </c:pt>
                <c:pt idx="115">
                  <c:v>0.99981712892410857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843072"/>
        <c:axId val="161845632"/>
      </c:scatterChart>
      <c:valAx>
        <c:axId val="161843072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Log Pore Throat Radius (Microns)</a:t>
                </a:r>
              </a:p>
            </c:rich>
          </c:tx>
          <c:layout>
            <c:manualLayout>
              <c:xMode val="edge"/>
              <c:yMode val="edge"/>
              <c:x val="0.39768561318499929"/>
              <c:y val="0.942799210869595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161845632"/>
        <c:crosses val="autoZero"/>
        <c:crossBetween val="midCat"/>
      </c:valAx>
      <c:valAx>
        <c:axId val="161845632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Mercury Saturation, fractional</a:t>
                </a:r>
              </a:p>
            </c:rich>
          </c:tx>
          <c:layout>
            <c:manualLayout>
              <c:xMode val="edge"/>
              <c:yMode val="edge"/>
              <c:x val="1.7213682297809941E-2"/>
              <c:y val="0.331670401146337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161843072"/>
        <c:crossesAt val="1.0000000000000041E-3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>
      <a:solidFill>
        <a:sysClr val="windowText" lastClr="000000"/>
      </a:solidFill>
    </a:ln>
  </c:spPr>
  <c:txPr>
    <a:bodyPr/>
    <a:lstStyle/>
    <a:p>
      <a:pPr>
        <a:defRPr sz="825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966" r="0.75000000000000966" t="1" header="0.5" footer="0.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1">
                <a:latin typeface="Arial"/>
              </a:rPr>
              <a:t>d Sw / d Log Pore Throat Size vs Log Pore Throat Size</a:t>
            </a:r>
          </a:p>
        </c:rich>
      </c:tx>
      <c:layout>
        <c:manualLayout>
          <c:xMode val="edge"/>
          <c:yMode val="edge"/>
          <c:x val="0.2429618814204548"/>
          <c:y val="3.10126151025640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48905544897"/>
          <c:y val="0.10031489965429066"/>
          <c:w val="0.81356164375743056"/>
          <c:h val="0.76537560680389582"/>
        </c:manualLayout>
      </c:layout>
      <c:scatterChart>
        <c:scatterStyle val="smoothMarker"/>
        <c:varyColors val="0"/>
        <c:ser>
          <c:idx val="0"/>
          <c:order val="0"/>
          <c:tx>
            <c:v>Sat. (Frac)</c:v>
          </c:tx>
          <c:spPr>
            <a:ln w="12700">
              <a:solidFill>
                <a:srgbClr val="FF0000"/>
              </a:solidFill>
            </a:ln>
          </c:spPr>
          <c:marker>
            <c:symbol val="diamond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60.095133594900979</c:v>
                </c:pt>
                <c:pt idx="1">
                  <c:v>57.247093784440708</c:v>
                </c:pt>
                <c:pt idx="2">
                  <c:v>50.303836853714422</c:v>
                </c:pt>
                <c:pt idx="3">
                  <c:v>45.38009851218974</c:v>
                </c:pt>
                <c:pt idx="4">
                  <c:v>42.043528441874948</c:v>
                </c:pt>
                <c:pt idx="5">
                  <c:v>38.610483127398126</c:v>
                </c:pt>
                <c:pt idx="6">
                  <c:v>35.337891066673926</c:v>
                </c:pt>
                <c:pt idx="7">
                  <c:v>32.385982752339714</c:v>
                </c:pt>
                <c:pt idx="8">
                  <c:v>29.622185692463667</c:v>
                </c:pt>
                <c:pt idx="9">
                  <c:v>27.229166104324147</c:v>
                </c:pt>
                <c:pt idx="10">
                  <c:v>24.745290063198329</c:v>
                </c:pt>
                <c:pt idx="11">
                  <c:v>22.66381736360562</c:v>
                </c:pt>
                <c:pt idx="12">
                  <c:v>20.733111554203933</c:v>
                </c:pt>
                <c:pt idx="13">
                  <c:v>18.953535464726315</c:v>
                </c:pt>
                <c:pt idx="14">
                  <c:v>17.373337535705936</c:v>
                </c:pt>
                <c:pt idx="15">
                  <c:v>15.889488133274735</c:v>
                </c:pt>
                <c:pt idx="16">
                  <c:v>14.537266519496933</c:v>
                </c:pt>
                <c:pt idx="17">
                  <c:v>13.273644147324314</c:v>
                </c:pt>
                <c:pt idx="18">
                  <c:v>12.136389578861634</c:v>
                </c:pt>
                <c:pt idx="19">
                  <c:v>11.115465000697546</c:v>
                </c:pt>
                <c:pt idx="20">
                  <c:v>10.158639506343187</c:v>
                </c:pt>
                <c:pt idx="21">
                  <c:v>9.2809226182651603</c:v>
                </c:pt>
                <c:pt idx="22">
                  <c:v>8.4975956719716592</c:v>
                </c:pt>
                <c:pt idx="23">
                  <c:v>7.7105862765749196</c:v>
                </c:pt>
                <c:pt idx="24">
                  <c:v>7.116418376424086</c:v>
                </c:pt>
                <c:pt idx="25">
                  <c:v>6.4621377292679636</c:v>
                </c:pt>
                <c:pt idx="26">
                  <c:v>5.9234319886839737</c:v>
                </c:pt>
                <c:pt idx="27">
                  <c:v>5.4326208882006686</c:v>
                </c:pt>
                <c:pt idx="28">
                  <c:v>4.9634577226212917</c:v>
                </c:pt>
                <c:pt idx="29">
                  <c:v>4.5239906544132271</c:v>
                </c:pt>
                <c:pt idx="30">
                  <c:v>4.135893232672796</c:v>
                </c:pt>
                <c:pt idx="31">
                  <c:v>3.7786056272576007</c:v>
                </c:pt>
                <c:pt idx="32">
                  <c:v>3.4457571830154312</c:v>
                </c:pt>
                <c:pt idx="33">
                  <c:v>3.1640481259182751</c:v>
                </c:pt>
                <c:pt idx="34">
                  <c:v>3.0744229638073035</c:v>
                </c:pt>
                <c:pt idx="35">
                  <c:v>2.8140409854496813</c:v>
                </c:pt>
                <c:pt idx="36">
                  <c:v>2.5187807232990318</c:v>
                </c:pt>
                <c:pt idx="37">
                  <c:v>2.273013983837386</c:v>
                </c:pt>
                <c:pt idx="38">
                  <c:v>2.0709196657959734</c:v>
                </c:pt>
                <c:pt idx="39">
                  <c:v>1.8563409491798104</c:v>
                </c:pt>
                <c:pt idx="40">
                  <c:v>1.7609822073918782</c:v>
                </c:pt>
                <c:pt idx="41">
                  <c:v>1.5575207527805246</c:v>
                </c:pt>
                <c:pt idx="42">
                  <c:v>1.4352793684177618</c:v>
                </c:pt>
                <c:pt idx="43">
                  <c:v>1.2938493002416873</c:v>
                </c:pt>
                <c:pt idx="44">
                  <c:v>1.2099683660442997</c:v>
                </c:pt>
                <c:pt idx="45">
                  <c:v>1.1084431360447904</c:v>
                </c:pt>
                <c:pt idx="46">
                  <c:v>0.99745330122801923</c:v>
                </c:pt>
                <c:pt idx="47">
                  <c:v>0.90702738344903044</c:v>
                </c:pt>
                <c:pt idx="48">
                  <c:v>0.83222398235721018</c:v>
                </c:pt>
                <c:pt idx="49">
                  <c:v>0.76043385045314427</c:v>
                </c:pt>
                <c:pt idx="50">
                  <c:v>0.69351213831620928</c:v>
                </c:pt>
                <c:pt idx="51">
                  <c:v>0.63436613926702967</c:v>
                </c:pt>
                <c:pt idx="52">
                  <c:v>0.58006348928021845</c:v>
                </c:pt>
                <c:pt idx="53">
                  <c:v>0.52772113074172944</c:v>
                </c:pt>
                <c:pt idx="54">
                  <c:v>0.48264216885539263</c:v>
                </c:pt>
                <c:pt idx="55">
                  <c:v>0.44121117870233717</c:v>
                </c:pt>
                <c:pt idx="56">
                  <c:v>0.40331155026756599</c:v>
                </c:pt>
                <c:pt idx="57">
                  <c:v>0.3665998003737575</c:v>
                </c:pt>
                <c:pt idx="58">
                  <c:v>0.33557127311671137</c:v>
                </c:pt>
                <c:pt idx="59">
                  <c:v>0.30636157688669596</c:v>
                </c:pt>
                <c:pt idx="60">
                  <c:v>0.27998435646751457</c:v>
                </c:pt>
                <c:pt idx="61">
                  <c:v>0.25635451128396225</c:v>
                </c:pt>
                <c:pt idx="62">
                  <c:v>0.23399202292385707</c:v>
                </c:pt>
                <c:pt idx="63">
                  <c:v>0.21381444772355682</c:v>
                </c:pt>
                <c:pt idx="64">
                  <c:v>0.19533497946721606</c:v>
                </c:pt>
                <c:pt idx="65">
                  <c:v>0.17864088763236888</c:v>
                </c:pt>
                <c:pt idx="66">
                  <c:v>0.16327152111283114</c:v>
                </c:pt>
                <c:pt idx="67">
                  <c:v>0.14938322065356949</c:v>
                </c:pt>
                <c:pt idx="68">
                  <c:v>0.13640975815624226</c:v>
                </c:pt>
                <c:pt idx="69">
                  <c:v>0.12470601555997378</c:v>
                </c:pt>
                <c:pt idx="70">
                  <c:v>0.11393685439956483</c:v>
                </c:pt>
                <c:pt idx="71">
                  <c:v>0.10423722590089478</c:v>
                </c:pt>
                <c:pt idx="72">
                  <c:v>9.5208777283871032E-2</c:v>
                </c:pt>
                <c:pt idx="73">
                  <c:v>8.7387976865084108E-2</c:v>
                </c:pt>
                <c:pt idx="74">
                  <c:v>7.9814863927043955E-2</c:v>
                </c:pt>
                <c:pt idx="75">
                  <c:v>7.2797064385991234E-2</c:v>
                </c:pt>
                <c:pt idx="76">
                  <c:v>6.6466721246542015E-2</c:v>
                </c:pt>
                <c:pt idx="77">
                  <c:v>6.0744356819749885E-2</c:v>
                </c:pt>
                <c:pt idx="78">
                  <c:v>5.5650979978721204E-2</c:v>
                </c:pt>
                <c:pt idx="79">
                  <c:v>5.0649020903830153E-2</c:v>
                </c:pt>
                <c:pt idx="80">
                  <c:v>4.6334999108433167E-2</c:v>
                </c:pt>
                <c:pt idx="81">
                  <c:v>4.2478742961356064E-2</c:v>
                </c:pt>
                <c:pt idx="82">
                  <c:v>3.8708260887560957E-2</c:v>
                </c:pt>
                <c:pt idx="83">
                  <c:v>3.5418084567173748E-2</c:v>
                </c:pt>
                <c:pt idx="84">
                  <c:v>3.2414502860150511E-2</c:v>
                </c:pt>
                <c:pt idx="85">
                  <c:v>2.9590728475248639E-2</c:v>
                </c:pt>
                <c:pt idx="86">
                  <c:v>2.7070022700178952E-2</c:v>
                </c:pt>
                <c:pt idx="87">
                  <c:v>2.4726937712864491E-2</c:v>
                </c:pt>
                <c:pt idx="88">
                  <c:v>2.2592881792097525E-2</c:v>
                </c:pt>
                <c:pt idx="89">
                  <c:v>2.0663568716402042E-2</c:v>
                </c:pt>
                <c:pt idx="90">
                  <c:v>1.8911778565512512E-2</c:v>
                </c:pt>
                <c:pt idx="91">
                  <c:v>1.7278496748655121E-2</c:v>
                </c:pt>
                <c:pt idx="92">
                  <c:v>1.5794392833729663E-2</c:v>
                </c:pt>
                <c:pt idx="93">
                  <c:v>1.4423323264914835E-2</c:v>
                </c:pt>
                <c:pt idx="94">
                  <c:v>1.3202008418689784E-2</c:v>
                </c:pt>
                <c:pt idx="95">
                  <c:v>1.205596653218907E-2</c:v>
                </c:pt>
                <c:pt idx="96">
                  <c:v>1.1026223599840427E-2</c:v>
                </c:pt>
                <c:pt idx="97">
                  <c:v>1.0079888265738912E-2</c:v>
                </c:pt>
                <c:pt idx="98">
                  <c:v>9.2094024813548364E-3</c:v>
                </c:pt>
                <c:pt idx="99">
                  <c:v>8.415729489498364E-3</c:v>
                </c:pt>
                <c:pt idx="100">
                  <c:v>7.7061604178313738E-3</c:v>
                </c:pt>
                <c:pt idx="101">
                  <c:v>7.0539319174159178E-3</c:v>
                </c:pt>
                <c:pt idx="102">
                  <c:v>6.4131608752835316E-3</c:v>
                </c:pt>
                <c:pt idx="103">
                  <c:v>5.8779101483962285E-3</c:v>
                </c:pt>
                <c:pt idx="104">
                  <c:v>5.3620569837525443E-3</c:v>
                </c:pt>
                <c:pt idx="105">
                  <c:v>4.9039905471772918E-3</c:v>
                </c:pt>
                <c:pt idx="106">
                  <c:v>4.4954783270400754E-3</c:v>
                </c:pt>
                <c:pt idx="107">
                  <c:v>4.1112835839431398E-3</c:v>
                </c:pt>
                <c:pt idx="108">
                  <c:v>3.7571186370267485E-3</c:v>
                </c:pt>
                <c:pt idx="109">
                  <c:v>3.4332270378101123E-3</c:v>
                </c:pt>
                <c:pt idx="110">
                  <c:v>3.1287682829075235E-3</c:v>
                </c:pt>
                <c:pt idx="111">
                  <c:v>2.8645076205297284E-3</c:v>
                </c:pt>
                <c:pt idx="112">
                  <c:v>2.6189245405402292E-3</c:v>
                </c:pt>
                <c:pt idx="113">
                  <c:v>2.3939323519717166E-3</c:v>
                </c:pt>
                <c:pt idx="114">
                  <c:v>2.1889000560844788E-3</c:v>
                </c:pt>
                <c:pt idx="115">
                  <c:v>2.002474605646184E-3</c:v>
                </c:pt>
                <c:pt idx="116">
                  <c:v>1.8304756877217576E-3</c:v>
                </c:pt>
                <c:pt idx="117">
                  <c:v>1.6734164623289749E-3</c:v>
                </c:pt>
                <c:pt idx="118">
                  <c:v>1.5412279328577386E-3</c:v>
                </c:pt>
              </c:numCache>
            </c:numRef>
          </c:xVal>
          <c:yVal>
            <c:numRef>
              <c:f>Table!$J$18:$J$136</c:f>
              <c:numCache>
                <c:formatCode>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1.4114727233791318E-2</c:v>
                </c:pt>
                <c:pt idx="40">
                  <c:v>3.4600229072900855E-2</c:v>
                </c:pt>
                <c:pt idx="41">
                  <c:v>3.5439382617497552E-2</c:v>
                </c:pt>
                <c:pt idx="42">
                  <c:v>9.1012929032876527E-2</c:v>
                </c:pt>
                <c:pt idx="43">
                  <c:v>0.11635925769954848</c:v>
                </c:pt>
                <c:pt idx="44">
                  <c:v>0.41043313720491664</c:v>
                </c:pt>
                <c:pt idx="45">
                  <c:v>0.85844594013012288</c:v>
                </c:pt>
                <c:pt idx="46">
                  <c:v>1.3516192437218018</c:v>
                </c:pt>
                <c:pt idx="47">
                  <c:v>2.0854564435820002</c:v>
                </c:pt>
                <c:pt idx="48">
                  <c:v>2.6923377683207006</c:v>
                </c:pt>
                <c:pt idx="49">
                  <c:v>1.72234605579735</c:v>
                </c:pt>
                <c:pt idx="50">
                  <c:v>0.84714647373777152</c:v>
                </c:pt>
                <c:pt idx="51">
                  <c:v>0.6502868153984015</c:v>
                </c:pt>
                <c:pt idx="52">
                  <c:v>0.62267524907751948</c:v>
                </c:pt>
                <c:pt idx="53">
                  <c:v>0.52540144124833188</c:v>
                </c:pt>
                <c:pt idx="54">
                  <c:v>0.52029863304023194</c:v>
                </c:pt>
                <c:pt idx="55">
                  <c:v>0.4644641881750356</c:v>
                </c:pt>
                <c:pt idx="56">
                  <c:v>0.45789053458686579</c:v>
                </c:pt>
                <c:pt idx="57">
                  <c:v>0.40149326883550307</c:v>
                </c:pt>
                <c:pt idx="58">
                  <c:v>0.40154001312580195</c:v>
                </c:pt>
                <c:pt idx="59">
                  <c:v>0.36065160668113005</c:v>
                </c:pt>
                <c:pt idx="60">
                  <c:v>0.34765300665234505</c:v>
                </c:pt>
                <c:pt idx="61">
                  <c:v>0.36294553939191293</c:v>
                </c:pt>
                <c:pt idx="62">
                  <c:v>0.33215808633761812</c:v>
                </c:pt>
                <c:pt idx="63">
                  <c:v>0.33152499636738597</c:v>
                </c:pt>
                <c:pt idx="64">
                  <c:v>0.31365898562458389</c:v>
                </c:pt>
                <c:pt idx="65">
                  <c:v>0.32364487801402275</c:v>
                </c:pt>
                <c:pt idx="66">
                  <c:v>0.32295791254218625</c:v>
                </c:pt>
                <c:pt idx="67">
                  <c:v>0.31576898970505202</c:v>
                </c:pt>
                <c:pt idx="68">
                  <c:v>0.31052930454714678</c:v>
                </c:pt>
                <c:pt idx="69">
                  <c:v>0.30667811667930922</c:v>
                </c:pt>
                <c:pt idx="70">
                  <c:v>0.28750983914063044</c:v>
                </c:pt>
                <c:pt idx="71">
                  <c:v>0.29183868653831424</c:v>
                </c:pt>
                <c:pt idx="72">
                  <c:v>0.28351487202763365</c:v>
                </c:pt>
                <c:pt idx="73">
                  <c:v>0.2849277673989839</c:v>
                </c:pt>
                <c:pt idx="74">
                  <c:v>0.28025928452809301</c:v>
                </c:pt>
                <c:pt idx="75">
                  <c:v>0.26993788920335843</c:v>
                </c:pt>
                <c:pt idx="76">
                  <c:v>0.26999707948451401</c:v>
                </c:pt>
                <c:pt idx="77">
                  <c:v>0.2494512441956219</c:v>
                </c:pt>
                <c:pt idx="78">
                  <c:v>0.24842396645790135</c:v>
                </c:pt>
                <c:pt idx="79">
                  <c:v>0.24143307342092454</c:v>
                </c:pt>
                <c:pt idx="80">
                  <c:v>0.23334706287603049</c:v>
                </c:pt>
                <c:pt idx="81">
                  <c:v>0.22129478428107274</c:v>
                </c:pt>
                <c:pt idx="82">
                  <c:v>0.21593478122071505</c:v>
                </c:pt>
                <c:pt idx="83">
                  <c:v>0.21805021206860747</c:v>
                </c:pt>
                <c:pt idx="84">
                  <c:v>0.21224091698012335</c:v>
                </c:pt>
                <c:pt idx="85">
                  <c:v>0.2155933312742862</c:v>
                </c:pt>
                <c:pt idx="86">
                  <c:v>0.20651622009997253</c:v>
                </c:pt>
                <c:pt idx="87">
                  <c:v>0.20774663410506933</c:v>
                </c:pt>
                <c:pt idx="88">
                  <c:v>0.20060500226888309</c:v>
                </c:pt>
                <c:pt idx="89">
                  <c:v>0.20441499526447848</c:v>
                </c:pt>
                <c:pt idx="90">
                  <c:v>0.19329830930337499</c:v>
                </c:pt>
                <c:pt idx="91">
                  <c:v>0.20201725220024006</c:v>
                </c:pt>
                <c:pt idx="92">
                  <c:v>0.1641023600722763</c:v>
                </c:pt>
                <c:pt idx="93">
                  <c:v>0.17156799920716032</c:v>
                </c:pt>
                <c:pt idx="94">
                  <c:v>0.16974223448000175</c:v>
                </c:pt>
                <c:pt idx="95">
                  <c:v>0.16383815922521222</c:v>
                </c:pt>
                <c:pt idx="96">
                  <c:v>0.1572060617892144</c:v>
                </c:pt>
                <c:pt idx="97">
                  <c:v>0.15015942197913013</c:v>
                </c:pt>
                <c:pt idx="98">
                  <c:v>0.13831171378236368</c:v>
                </c:pt>
                <c:pt idx="99">
                  <c:v>0.13393832929851382</c:v>
                </c:pt>
                <c:pt idx="100">
                  <c:v>0.12269893525580683</c:v>
                </c:pt>
                <c:pt idx="101">
                  <c:v>0.11427424069948884</c:v>
                </c:pt>
                <c:pt idx="102">
                  <c:v>0.10316928445441026</c:v>
                </c:pt>
                <c:pt idx="103">
                  <c:v>0.10307352617860546</c:v>
                </c:pt>
                <c:pt idx="104">
                  <c:v>8.8628050362886471E-2</c:v>
                </c:pt>
                <c:pt idx="105">
                  <c:v>8.8020498285104623E-2</c:v>
                </c:pt>
                <c:pt idx="106">
                  <c:v>7.7459607215101756E-2</c:v>
                </c:pt>
                <c:pt idx="107">
                  <c:v>4.2420216793511746E-2</c:v>
                </c:pt>
                <c:pt idx="108">
                  <c:v>6.5440434682577722E-2</c:v>
                </c:pt>
                <c:pt idx="109">
                  <c:v>4.8264436423743305E-2</c:v>
                </c:pt>
                <c:pt idx="110">
                  <c:v>3.9298713032612322E-2</c:v>
                </c:pt>
                <c:pt idx="111">
                  <c:v>3.658367750164964E-2</c:v>
                </c:pt>
                <c:pt idx="112">
                  <c:v>2.5054910125909127E-2</c:v>
                </c:pt>
                <c:pt idx="113">
                  <c:v>1.8750665615098555E-2</c:v>
                </c:pt>
                <c:pt idx="114">
                  <c:v>2.3513777572918185E-2</c:v>
                </c:pt>
                <c:pt idx="115">
                  <c:v>1.1037536259197291E-2</c:v>
                </c:pt>
                <c:pt idx="116">
                  <c:v>4.6886349927371248E-3</c:v>
                </c:pt>
                <c:pt idx="117">
                  <c:v>0</c:v>
                </c:pt>
                <c:pt idx="118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861632"/>
        <c:axId val="161863936"/>
      </c:scatterChart>
      <c:valAx>
        <c:axId val="161861632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Log Pore Throat Radius (Microns)</a:t>
                </a:r>
              </a:p>
            </c:rich>
          </c:tx>
          <c:layout>
            <c:manualLayout>
              <c:xMode val="edge"/>
              <c:yMode val="edge"/>
              <c:x val="0.37010695397441207"/>
              <c:y val="0.940845879410746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161863936"/>
        <c:crosses val="autoZero"/>
        <c:crossBetween val="midCat"/>
      </c:valAx>
      <c:valAx>
        <c:axId val="16186393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 Sw / d LOG Pore Throat Rad.</a:t>
                </a:r>
              </a:p>
            </c:rich>
          </c:tx>
          <c:layout>
            <c:manualLayout>
              <c:xMode val="edge"/>
              <c:yMode val="edge"/>
              <c:x val="2.0606709152410356E-2"/>
              <c:y val="0.399264163377781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161861632"/>
        <c:crossesAt val="1.0000000000000041E-3"/>
        <c:crossBetween val="midCat"/>
        <c:majorUnit val="1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>
      <a:solidFill>
        <a:sysClr val="windowText" lastClr="000000"/>
      </a:solidFill>
    </a:ln>
  </c:spPr>
  <c:txPr>
    <a:bodyPr/>
    <a:lstStyle/>
    <a:p>
      <a:pPr>
        <a:defRPr sz="9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966" r="0.75000000000000966" t="1" header="0.5" footer="0.5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0">
                <a:latin typeface="Arial"/>
              </a:rPr>
              <a:t>Normalized Pore Size Distribution VS Normalized Permeability</a:t>
            </a:r>
          </a:p>
        </c:rich>
      </c:tx>
      <c:layout>
        <c:manualLayout>
          <c:xMode val="edge"/>
          <c:yMode val="edge"/>
          <c:x val="0.2255588553160959"/>
          <c:y val="4.42079021058823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30384661626489"/>
          <c:y val="0.16126507112319541"/>
          <c:w val="0.81528794194843257"/>
          <c:h val="0.67664041994752322"/>
        </c:manualLayout>
      </c:layout>
      <c:scatterChart>
        <c:scatterStyle val="smoothMarker"/>
        <c:varyColors val="0"/>
        <c:ser>
          <c:idx val="0"/>
          <c:order val="0"/>
          <c:tx>
            <c:v>Normalized Pore Size Distribution</c:v>
          </c:tx>
          <c:spPr>
            <a:ln w="15875">
              <a:solidFill>
                <a:schemeClr val="dk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75000"/>
                </a:schemeClr>
              </a:solidFill>
              <a:ln>
                <a:solidFill>
                  <a:schemeClr val="dk2">
                    <a:lumMod val="75000"/>
                  </a:schemeClr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60.095133594900979</c:v>
                </c:pt>
                <c:pt idx="1">
                  <c:v>57.247093784440708</c:v>
                </c:pt>
                <c:pt idx="2">
                  <c:v>50.303836853714422</c:v>
                </c:pt>
                <c:pt idx="3">
                  <c:v>45.38009851218974</c:v>
                </c:pt>
                <c:pt idx="4">
                  <c:v>42.043528441874948</c:v>
                </c:pt>
                <c:pt idx="5">
                  <c:v>38.610483127398126</c:v>
                </c:pt>
                <c:pt idx="6">
                  <c:v>35.337891066673926</c:v>
                </c:pt>
                <c:pt idx="7">
                  <c:v>32.385982752339714</c:v>
                </c:pt>
                <c:pt idx="8">
                  <c:v>29.622185692463667</c:v>
                </c:pt>
                <c:pt idx="9">
                  <c:v>27.229166104324147</c:v>
                </c:pt>
                <c:pt idx="10">
                  <c:v>24.745290063198329</c:v>
                </c:pt>
                <c:pt idx="11">
                  <c:v>22.66381736360562</c:v>
                </c:pt>
                <c:pt idx="12">
                  <c:v>20.733111554203933</c:v>
                </c:pt>
                <c:pt idx="13">
                  <c:v>18.953535464726315</c:v>
                </c:pt>
                <c:pt idx="14">
                  <c:v>17.373337535705936</c:v>
                </c:pt>
                <c:pt idx="15">
                  <c:v>15.889488133274735</c:v>
                </c:pt>
                <c:pt idx="16">
                  <c:v>14.537266519496933</c:v>
                </c:pt>
                <c:pt idx="17">
                  <c:v>13.273644147324314</c:v>
                </c:pt>
                <c:pt idx="18">
                  <c:v>12.136389578861634</c:v>
                </c:pt>
                <c:pt idx="19">
                  <c:v>11.115465000697546</c:v>
                </c:pt>
                <c:pt idx="20">
                  <c:v>10.158639506343187</c:v>
                </c:pt>
                <c:pt idx="21">
                  <c:v>9.2809226182651603</c:v>
                </c:pt>
                <c:pt idx="22">
                  <c:v>8.4975956719716592</c:v>
                </c:pt>
                <c:pt idx="23">
                  <c:v>7.7105862765749196</c:v>
                </c:pt>
                <c:pt idx="24">
                  <c:v>7.116418376424086</c:v>
                </c:pt>
                <c:pt idx="25">
                  <c:v>6.4621377292679636</c:v>
                </c:pt>
                <c:pt idx="26">
                  <c:v>5.9234319886839737</c:v>
                </c:pt>
                <c:pt idx="27">
                  <c:v>5.4326208882006686</c:v>
                </c:pt>
                <c:pt idx="28">
                  <c:v>4.9634577226212917</c:v>
                </c:pt>
                <c:pt idx="29">
                  <c:v>4.5239906544132271</c:v>
                </c:pt>
                <c:pt idx="30">
                  <c:v>4.135893232672796</c:v>
                </c:pt>
                <c:pt idx="31">
                  <c:v>3.7786056272576007</c:v>
                </c:pt>
                <c:pt idx="32">
                  <c:v>3.4457571830154312</c:v>
                </c:pt>
                <c:pt idx="33">
                  <c:v>3.1640481259182751</c:v>
                </c:pt>
                <c:pt idx="34">
                  <c:v>3.0744229638073035</c:v>
                </c:pt>
                <c:pt idx="35">
                  <c:v>2.8140409854496813</c:v>
                </c:pt>
                <c:pt idx="36">
                  <c:v>2.5187807232990318</c:v>
                </c:pt>
                <c:pt idx="37">
                  <c:v>2.273013983837386</c:v>
                </c:pt>
                <c:pt idx="38">
                  <c:v>2.0709196657959734</c:v>
                </c:pt>
                <c:pt idx="39">
                  <c:v>1.8563409491798104</c:v>
                </c:pt>
                <c:pt idx="40">
                  <c:v>1.7609822073918782</c:v>
                </c:pt>
                <c:pt idx="41">
                  <c:v>1.5575207527805246</c:v>
                </c:pt>
                <c:pt idx="42">
                  <c:v>1.4352793684177618</c:v>
                </c:pt>
                <c:pt idx="43">
                  <c:v>1.2938493002416873</c:v>
                </c:pt>
                <c:pt idx="44">
                  <c:v>1.2099683660442997</c:v>
                </c:pt>
                <c:pt idx="45">
                  <c:v>1.1084431360447904</c:v>
                </c:pt>
                <c:pt idx="46">
                  <c:v>0.99745330122801923</c:v>
                </c:pt>
                <c:pt idx="47">
                  <c:v>0.90702738344903044</c:v>
                </c:pt>
                <c:pt idx="48">
                  <c:v>0.83222398235721018</c:v>
                </c:pt>
                <c:pt idx="49">
                  <c:v>0.76043385045314427</c:v>
                </c:pt>
                <c:pt idx="50">
                  <c:v>0.69351213831620928</c:v>
                </c:pt>
                <c:pt idx="51">
                  <c:v>0.63436613926702967</c:v>
                </c:pt>
                <c:pt idx="52">
                  <c:v>0.58006348928021845</c:v>
                </c:pt>
                <c:pt idx="53">
                  <c:v>0.52772113074172944</c:v>
                </c:pt>
                <c:pt idx="54">
                  <c:v>0.48264216885539263</c:v>
                </c:pt>
                <c:pt idx="55">
                  <c:v>0.44121117870233717</c:v>
                </c:pt>
                <c:pt idx="56">
                  <c:v>0.40331155026756599</c:v>
                </c:pt>
                <c:pt idx="57">
                  <c:v>0.3665998003737575</c:v>
                </c:pt>
                <c:pt idx="58">
                  <c:v>0.33557127311671137</c:v>
                </c:pt>
                <c:pt idx="59">
                  <c:v>0.30636157688669596</c:v>
                </c:pt>
                <c:pt idx="60">
                  <c:v>0.27998435646751457</c:v>
                </c:pt>
                <c:pt idx="61">
                  <c:v>0.25635451128396225</c:v>
                </c:pt>
                <c:pt idx="62">
                  <c:v>0.23399202292385707</c:v>
                </c:pt>
                <c:pt idx="63">
                  <c:v>0.21381444772355682</c:v>
                </c:pt>
                <c:pt idx="64">
                  <c:v>0.19533497946721606</c:v>
                </c:pt>
                <c:pt idx="65">
                  <c:v>0.17864088763236888</c:v>
                </c:pt>
                <c:pt idx="66">
                  <c:v>0.16327152111283114</c:v>
                </c:pt>
                <c:pt idx="67">
                  <c:v>0.14938322065356949</c:v>
                </c:pt>
                <c:pt idx="68">
                  <c:v>0.13640975815624226</c:v>
                </c:pt>
                <c:pt idx="69">
                  <c:v>0.12470601555997378</c:v>
                </c:pt>
                <c:pt idx="70">
                  <c:v>0.11393685439956483</c:v>
                </c:pt>
                <c:pt idx="71">
                  <c:v>0.10423722590089478</c:v>
                </c:pt>
                <c:pt idx="72">
                  <c:v>9.5208777283871032E-2</c:v>
                </c:pt>
                <c:pt idx="73">
                  <c:v>8.7387976865084108E-2</c:v>
                </c:pt>
                <c:pt idx="74">
                  <c:v>7.9814863927043955E-2</c:v>
                </c:pt>
                <c:pt idx="75">
                  <c:v>7.2797064385991234E-2</c:v>
                </c:pt>
                <c:pt idx="76">
                  <c:v>6.6466721246542015E-2</c:v>
                </c:pt>
                <c:pt idx="77">
                  <c:v>6.0744356819749885E-2</c:v>
                </c:pt>
                <c:pt idx="78">
                  <c:v>5.5650979978721204E-2</c:v>
                </c:pt>
                <c:pt idx="79">
                  <c:v>5.0649020903830153E-2</c:v>
                </c:pt>
                <c:pt idx="80">
                  <c:v>4.6334999108433167E-2</c:v>
                </c:pt>
                <c:pt idx="81">
                  <c:v>4.2478742961356064E-2</c:v>
                </c:pt>
                <c:pt idx="82">
                  <c:v>3.8708260887560957E-2</c:v>
                </c:pt>
                <c:pt idx="83">
                  <c:v>3.5418084567173748E-2</c:v>
                </c:pt>
                <c:pt idx="84">
                  <c:v>3.2414502860150511E-2</c:v>
                </c:pt>
                <c:pt idx="85">
                  <c:v>2.9590728475248639E-2</c:v>
                </c:pt>
                <c:pt idx="86">
                  <c:v>2.7070022700178952E-2</c:v>
                </c:pt>
                <c:pt idx="87">
                  <c:v>2.4726937712864491E-2</c:v>
                </c:pt>
                <c:pt idx="88">
                  <c:v>2.2592881792097525E-2</c:v>
                </c:pt>
                <c:pt idx="89">
                  <c:v>2.0663568716402042E-2</c:v>
                </c:pt>
                <c:pt idx="90">
                  <c:v>1.8911778565512512E-2</c:v>
                </c:pt>
                <c:pt idx="91">
                  <c:v>1.7278496748655121E-2</c:v>
                </c:pt>
                <c:pt idx="92">
                  <c:v>1.5794392833729663E-2</c:v>
                </c:pt>
                <c:pt idx="93">
                  <c:v>1.4423323264914835E-2</c:v>
                </c:pt>
                <c:pt idx="94">
                  <c:v>1.3202008418689784E-2</c:v>
                </c:pt>
                <c:pt idx="95">
                  <c:v>1.205596653218907E-2</c:v>
                </c:pt>
                <c:pt idx="96">
                  <c:v>1.1026223599840427E-2</c:v>
                </c:pt>
                <c:pt idx="97">
                  <c:v>1.0079888265738912E-2</c:v>
                </c:pt>
                <c:pt idx="98">
                  <c:v>9.2094024813548364E-3</c:v>
                </c:pt>
                <c:pt idx="99">
                  <c:v>8.415729489498364E-3</c:v>
                </c:pt>
                <c:pt idx="100">
                  <c:v>7.7061604178313738E-3</c:v>
                </c:pt>
                <c:pt idx="101">
                  <c:v>7.0539319174159178E-3</c:v>
                </c:pt>
                <c:pt idx="102">
                  <c:v>6.4131608752835316E-3</c:v>
                </c:pt>
                <c:pt idx="103">
                  <c:v>5.8779101483962285E-3</c:v>
                </c:pt>
                <c:pt idx="104">
                  <c:v>5.3620569837525443E-3</c:v>
                </c:pt>
                <c:pt idx="105">
                  <c:v>4.9039905471772918E-3</c:v>
                </c:pt>
                <c:pt idx="106">
                  <c:v>4.4954783270400754E-3</c:v>
                </c:pt>
                <c:pt idx="107">
                  <c:v>4.1112835839431398E-3</c:v>
                </c:pt>
                <c:pt idx="108">
                  <c:v>3.7571186370267485E-3</c:v>
                </c:pt>
                <c:pt idx="109">
                  <c:v>3.4332270378101123E-3</c:v>
                </c:pt>
                <c:pt idx="110">
                  <c:v>3.1287682829075235E-3</c:v>
                </c:pt>
                <c:pt idx="111">
                  <c:v>2.8645076205297284E-3</c:v>
                </c:pt>
                <c:pt idx="112">
                  <c:v>2.6189245405402292E-3</c:v>
                </c:pt>
                <c:pt idx="113">
                  <c:v>2.3939323519717166E-3</c:v>
                </c:pt>
                <c:pt idx="114">
                  <c:v>2.1889000560844788E-3</c:v>
                </c:pt>
                <c:pt idx="115">
                  <c:v>2.002474605646184E-3</c:v>
                </c:pt>
                <c:pt idx="116">
                  <c:v>1.8304756877217576E-3</c:v>
                </c:pt>
                <c:pt idx="117">
                  <c:v>1.6734164623289749E-3</c:v>
                </c:pt>
                <c:pt idx="118">
                  <c:v>1.5412279328577386E-3</c:v>
                </c:pt>
              </c:numCache>
            </c:numRef>
          </c:xVal>
          <c:yVal>
            <c:numRef>
              <c:f>Table!$S$18:$S$136</c:f>
              <c:numCache>
                <c:formatCode>????0.000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6.6626287098728075E-3</c:v>
                </c:pt>
                <c:pt idx="40">
                  <c:v>7.8740157480314977E-3</c:v>
                </c:pt>
                <c:pt idx="41">
                  <c:v>1.8776499091459731E-2</c:v>
                </c:pt>
                <c:pt idx="42">
                  <c:v>3.2101756511205344E-2</c:v>
                </c:pt>
                <c:pt idx="43">
                  <c:v>5.2089642640823774E-2</c:v>
                </c:pt>
                <c:pt idx="44">
                  <c:v>0.11871592973955182</c:v>
                </c:pt>
                <c:pt idx="45">
                  <c:v>0.32465172622652949</c:v>
                </c:pt>
                <c:pt idx="46">
                  <c:v>0.61538461538461575</c:v>
                </c:pt>
                <c:pt idx="47">
                  <c:v>0.85523924894003645</c:v>
                </c:pt>
                <c:pt idx="48">
                  <c:v>1</c:v>
                </c:pt>
                <c:pt idx="49">
                  <c:v>0.67050272562083668</c:v>
                </c:pt>
                <c:pt idx="50">
                  <c:v>0.336765596608116</c:v>
                </c:pt>
                <c:pt idx="51">
                  <c:v>0.25015142337977009</c:v>
                </c:pt>
                <c:pt idx="52">
                  <c:v>0.24046032707450077</c:v>
                </c:pt>
                <c:pt idx="53">
                  <c:v>0.21441550575408871</c:v>
                </c:pt>
                <c:pt idx="54">
                  <c:v>0.20048455481526345</c:v>
                </c:pt>
                <c:pt idx="55">
                  <c:v>0.17989097516656583</c:v>
                </c:pt>
                <c:pt idx="56">
                  <c:v>0.17746820109024836</c:v>
                </c:pt>
                <c:pt idx="57">
                  <c:v>0.16535433070866157</c:v>
                </c:pt>
                <c:pt idx="58">
                  <c:v>0.1532404603270737</c:v>
                </c:pt>
                <c:pt idx="59">
                  <c:v>0.14173228346456754</c:v>
                </c:pt>
                <c:pt idx="60">
                  <c:v>0.1350696547546941</c:v>
                </c:pt>
                <c:pt idx="61">
                  <c:v>0.13809812235009053</c:v>
                </c:pt>
                <c:pt idx="62">
                  <c:v>0.13082980012113979</c:v>
                </c:pt>
                <c:pt idx="63">
                  <c:v>0.12901271956390017</c:v>
                </c:pt>
                <c:pt idx="64">
                  <c:v>0.12235009085402893</c:v>
                </c:pt>
                <c:pt idx="65">
                  <c:v>0.12477286493034474</c:v>
                </c:pt>
                <c:pt idx="66">
                  <c:v>0.12537855844942425</c:v>
                </c:pt>
                <c:pt idx="67">
                  <c:v>0.12113870381586991</c:v>
                </c:pt>
                <c:pt idx="68">
                  <c:v>0.12174439733494832</c:v>
                </c:pt>
                <c:pt idx="69">
                  <c:v>0.1187159297395519</c:v>
                </c:pt>
                <c:pt idx="70">
                  <c:v>0.11205330102967957</c:v>
                </c:pt>
                <c:pt idx="71">
                  <c:v>0.11205330102967846</c:v>
                </c:pt>
                <c:pt idx="72">
                  <c:v>0.11084191399152056</c:v>
                </c:pt>
                <c:pt idx="73">
                  <c:v>0.10539067231980613</c:v>
                </c:pt>
                <c:pt idx="74">
                  <c:v>0.10963052695336155</c:v>
                </c:pt>
                <c:pt idx="75">
                  <c:v>0.10720775287704354</c:v>
                </c:pt>
                <c:pt idx="76">
                  <c:v>0.10599636583888562</c:v>
                </c:pt>
                <c:pt idx="77">
                  <c:v>9.6910963052695268E-2</c:v>
                </c:pt>
                <c:pt idx="78">
                  <c:v>9.3882495457299958E-2</c:v>
                </c:pt>
                <c:pt idx="79">
                  <c:v>9.8122350090853183E-2</c:v>
                </c:pt>
                <c:pt idx="80">
                  <c:v>8.964264082374343E-2</c:v>
                </c:pt>
                <c:pt idx="81">
                  <c:v>8.2980012113869989E-2</c:v>
                </c:pt>
                <c:pt idx="82">
                  <c:v>8.6614173228347011E-2</c:v>
                </c:pt>
                <c:pt idx="83">
                  <c:v>8.3585705632949495E-2</c:v>
                </c:pt>
                <c:pt idx="84">
                  <c:v>8.1162931556631485E-2</c:v>
                </c:pt>
                <c:pt idx="85">
                  <c:v>8.4797092671108507E-2</c:v>
                </c:pt>
                <c:pt idx="86">
                  <c:v>7.9345850999395173E-2</c:v>
                </c:pt>
                <c:pt idx="87">
                  <c:v>8.1162931556632581E-2</c:v>
                </c:pt>
                <c:pt idx="88">
                  <c:v>7.8134463961235065E-2</c:v>
                </c:pt>
                <c:pt idx="89">
                  <c:v>7.8740157480314571E-2</c:v>
                </c:pt>
                <c:pt idx="90">
                  <c:v>7.3894609327680744E-2</c:v>
                </c:pt>
                <c:pt idx="91">
                  <c:v>7.8740157480315667E-2</c:v>
                </c:pt>
                <c:pt idx="92">
                  <c:v>6.3597819503331376E-2</c:v>
                </c:pt>
                <c:pt idx="93">
                  <c:v>6.7231980617807302E-2</c:v>
                </c:pt>
                <c:pt idx="94">
                  <c:v>6.4809206541490388E-2</c:v>
                </c:pt>
                <c:pt idx="95">
                  <c:v>6.4203513022409772E-2</c:v>
                </c:pt>
                <c:pt idx="96">
                  <c:v>6.0569351907934957E-2</c:v>
                </c:pt>
                <c:pt idx="97">
                  <c:v>5.8146577831616947E-2</c:v>
                </c:pt>
                <c:pt idx="98">
                  <c:v>5.3906723198061515E-2</c:v>
                </c:pt>
                <c:pt idx="99">
                  <c:v>5.2089642640825211E-2</c:v>
                </c:pt>
                <c:pt idx="100">
                  <c:v>4.6638400969108575E-2</c:v>
                </c:pt>
                <c:pt idx="101">
                  <c:v>4.3609933373713258E-2</c:v>
                </c:pt>
                <c:pt idx="102">
                  <c:v>4.239854633555315E-2</c:v>
                </c:pt>
                <c:pt idx="103">
                  <c:v>3.8764385221079431E-2</c:v>
                </c:pt>
                <c:pt idx="104">
                  <c:v>3.5130224106602409E-2</c:v>
                </c:pt>
                <c:pt idx="105">
                  <c:v>3.3918837068442301E-2</c:v>
                </c:pt>
                <c:pt idx="106">
                  <c:v>2.9073288915809577E-2</c:v>
                </c:pt>
                <c:pt idx="107">
                  <c:v>1.6353725015142196E-2</c:v>
                </c:pt>
                <c:pt idx="108">
                  <c:v>2.5439127801332551E-2</c:v>
                </c:pt>
                <c:pt idx="109">
                  <c:v>1.8776499091460213E-2</c:v>
                </c:pt>
                <c:pt idx="110">
                  <c:v>1.5748031496062694E-2</c:v>
                </c:pt>
                <c:pt idx="111">
                  <c:v>1.3930950938824181E-2</c:v>
                </c:pt>
                <c:pt idx="112">
                  <c:v>9.6910963052698577E-3</c:v>
                </c:pt>
                <c:pt idx="113">
                  <c:v>7.2683222289518425E-3</c:v>
                </c:pt>
                <c:pt idx="114">
                  <c:v>9.0854027861903535E-3</c:v>
                </c:pt>
                <c:pt idx="115">
                  <c:v>4.2398546335565279E-3</c:v>
                </c:pt>
                <c:pt idx="116">
                  <c:v>1.817080557237409E-3</c:v>
                </c:pt>
                <c:pt idx="117">
                  <c:v>0</c:v>
                </c:pt>
                <c:pt idx="118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Normalized Permeability</c:v>
          </c:tx>
          <c:marker>
            <c:symbol val="circle"/>
            <c:size val="5"/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60.095133594900979</c:v>
                </c:pt>
                <c:pt idx="1">
                  <c:v>57.247093784440708</c:v>
                </c:pt>
                <c:pt idx="2">
                  <c:v>50.303836853714422</c:v>
                </c:pt>
                <c:pt idx="3">
                  <c:v>45.38009851218974</c:v>
                </c:pt>
                <c:pt idx="4">
                  <c:v>42.043528441874948</c:v>
                </c:pt>
                <c:pt idx="5">
                  <c:v>38.610483127398126</c:v>
                </c:pt>
                <c:pt idx="6">
                  <c:v>35.337891066673926</c:v>
                </c:pt>
                <c:pt idx="7">
                  <c:v>32.385982752339714</c:v>
                </c:pt>
                <c:pt idx="8">
                  <c:v>29.622185692463667</c:v>
                </c:pt>
                <c:pt idx="9">
                  <c:v>27.229166104324147</c:v>
                </c:pt>
                <c:pt idx="10">
                  <c:v>24.745290063198329</c:v>
                </c:pt>
                <c:pt idx="11">
                  <c:v>22.66381736360562</c:v>
                </c:pt>
                <c:pt idx="12">
                  <c:v>20.733111554203933</c:v>
                </c:pt>
                <c:pt idx="13">
                  <c:v>18.953535464726315</c:v>
                </c:pt>
                <c:pt idx="14">
                  <c:v>17.373337535705936</c:v>
                </c:pt>
                <c:pt idx="15">
                  <c:v>15.889488133274735</c:v>
                </c:pt>
                <c:pt idx="16">
                  <c:v>14.537266519496933</c:v>
                </c:pt>
                <c:pt idx="17">
                  <c:v>13.273644147324314</c:v>
                </c:pt>
                <c:pt idx="18">
                  <c:v>12.136389578861634</c:v>
                </c:pt>
                <c:pt idx="19">
                  <c:v>11.115465000697546</c:v>
                </c:pt>
                <c:pt idx="20">
                  <c:v>10.158639506343187</c:v>
                </c:pt>
                <c:pt idx="21">
                  <c:v>9.2809226182651603</c:v>
                </c:pt>
                <c:pt idx="22">
                  <c:v>8.4975956719716592</c:v>
                </c:pt>
                <c:pt idx="23">
                  <c:v>7.7105862765749196</c:v>
                </c:pt>
                <c:pt idx="24">
                  <c:v>7.116418376424086</c:v>
                </c:pt>
                <c:pt idx="25">
                  <c:v>6.4621377292679636</c:v>
                </c:pt>
                <c:pt idx="26">
                  <c:v>5.9234319886839737</c:v>
                </c:pt>
                <c:pt idx="27">
                  <c:v>5.4326208882006686</c:v>
                </c:pt>
                <c:pt idx="28">
                  <c:v>4.9634577226212917</c:v>
                </c:pt>
                <c:pt idx="29">
                  <c:v>4.5239906544132271</c:v>
                </c:pt>
                <c:pt idx="30">
                  <c:v>4.135893232672796</c:v>
                </c:pt>
                <c:pt idx="31">
                  <c:v>3.7786056272576007</c:v>
                </c:pt>
                <c:pt idx="32">
                  <c:v>3.4457571830154312</c:v>
                </c:pt>
                <c:pt idx="33">
                  <c:v>3.1640481259182751</c:v>
                </c:pt>
                <c:pt idx="34">
                  <c:v>3.0744229638073035</c:v>
                </c:pt>
                <c:pt idx="35">
                  <c:v>2.8140409854496813</c:v>
                </c:pt>
                <c:pt idx="36">
                  <c:v>2.5187807232990318</c:v>
                </c:pt>
                <c:pt idx="37">
                  <c:v>2.273013983837386</c:v>
                </c:pt>
                <c:pt idx="38">
                  <c:v>2.0709196657959734</c:v>
                </c:pt>
                <c:pt idx="39">
                  <c:v>1.8563409491798104</c:v>
                </c:pt>
                <c:pt idx="40">
                  <c:v>1.7609822073918782</c:v>
                </c:pt>
                <c:pt idx="41">
                  <c:v>1.5575207527805246</c:v>
                </c:pt>
                <c:pt idx="42">
                  <c:v>1.4352793684177618</c:v>
                </c:pt>
                <c:pt idx="43">
                  <c:v>1.2938493002416873</c:v>
                </c:pt>
                <c:pt idx="44">
                  <c:v>1.2099683660442997</c:v>
                </c:pt>
                <c:pt idx="45">
                  <c:v>1.1084431360447904</c:v>
                </c:pt>
                <c:pt idx="46">
                  <c:v>0.99745330122801923</c:v>
                </c:pt>
                <c:pt idx="47">
                  <c:v>0.90702738344903044</c:v>
                </c:pt>
                <c:pt idx="48">
                  <c:v>0.83222398235721018</c:v>
                </c:pt>
                <c:pt idx="49">
                  <c:v>0.76043385045314427</c:v>
                </c:pt>
                <c:pt idx="50">
                  <c:v>0.69351213831620928</c:v>
                </c:pt>
                <c:pt idx="51">
                  <c:v>0.63436613926702967</c:v>
                </c:pt>
                <c:pt idx="52">
                  <c:v>0.58006348928021845</c:v>
                </c:pt>
                <c:pt idx="53">
                  <c:v>0.52772113074172944</c:v>
                </c:pt>
                <c:pt idx="54">
                  <c:v>0.48264216885539263</c:v>
                </c:pt>
                <c:pt idx="55">
                  <c:v>0.44121117870233717</c:v>
                </c:pt>
                <c:pt idx="56">
                  <c:v>0.40331155026756599</c:v>
                </c:pt>
                <c:pt idx="57">
                  <c:v>0.3665998003737575</c:v>
                </c:pt>
                <c:pt idx="58">
                  <c:v>0.33557127311671137</c:v>
                </c:pt>
                <c:pt idx="59">
                  <c:v>0.30636157688669596</c:v>
                </c:pt>
                <c:pt idx="60">
                  <c:v>0.27998435646751457</c:v>
                </c:pt>
                <c:pt idx="61">
                  <c:v>0.25635451128396225</c:v>
                </c:pt>
                <c:pt idx="62">
                  <c:v>0.23399202292385707</c:v>
                </c:pt>
                <c:pt idx="63">
                  <c:v>0.21381444772355682</c:v>
                </c:pt>
                <c:pt idx="64">
                  <c:v>0.19533497946721606</c:v>
                </c:pt>
                <c:pt idx="65">
                  <c:v>0.17864088763236888</c:v>
                </c:pt>
                <c:pt idx="66">
                  <c:v>0.16327152111283114</c:v>
                </c:pt>
                <c:pt idx="67">
                  <c:v>0.14938322065356949</c:v>
                </c:pt>
                <c:pt idx="68">
                  <c:v>0.13640975815624226</c:v>
                </c:pt>
                <c:pt idx="69">
                  <c:v>0.12470601555997378</c:v>
                </c:pt>
                <c:pt idx="70">
                  <c:v>0.11393685439956483</c:v>
                </c:pt>
                <c:pt idx="71">
                  <c:v>0.10423722590089478</c:v>
                </c:pt>
                <c:pt idx="72">
                  <c:v>9.5208777283871032E-2</c:v>
                </c:pt>
                <c:pt idx="73">
                  <c:v>8.7387976865084108E-2</c:v>
                </c:pt>
                <c:pt idx="74">
                  <c:v>7.9814863927043955E-2</c:v>
                </c:pt>
                <c:pt idx="75">
                  <c:v>7.2797064385991234E-2</c:v>
                </c:pt>
                <c:pt idx="76">
                  <c:v>6.6466721246542015E-2</c:v>
                </c:pt>
                <c:pt idx="77">
                  <c:v>6.0744356819749885E-2</c:v>
                </c:pt>
                <c:pt idx="78">
                  <c:v>5.5650979978721204E-2</c:v>
                </c:pt>
                <c:pt idx="79">
                  <c:v>5.0649020903830153E-2</c:v>
                </c:pt>
                <c:pt idx="80">
                  <c:v>4.6334999108433167E-2</c:v>
                </c:pt>
                <c:pt idx="81">
                  <c:v>4.2478742961356064E-2</c:v>
                </c:pt>
                <c:pt idx="82">
                  <c:v>3.8708260887560957E-2</c:v>
                </c:pt>
                <c:pt idx="83">
                  <c:v>3.5418084567173748E-2</c:v>
                </c:pt>
                <c:pt idx="84">
                  <c:v>3.2414502860150511E-2</c:v>
                </c:pt>
                <c:pt idx="85">
                  <c:v>2.9590728475248639E-2</c:v>
                </c:pt>
                <c:pt idx="86">
                  <c:v>2.7070022700178952E-2</c:v>
                </c:pt>
                <c:pt idx="87">
                  <c:v>2.4726937712864491E-2</c:v>
                </c:pt>
                <c:pt idx="88">
                  <c:v>2.2592881792097525E-2</c:v>
                </c:pt>
                <c:pt idx="89">
                  <c:v>2.0663568716402042E-2</c:v>
                </c:pt>
                <c:pt idx="90">
                  <c:v>1.8911778565512512E-2</c:v>
                </c:pt>
                <c:pt idx="91">
                  <c:v>1.7278496748655121E-2</c:v>
                </c:pt>
                <c:pt idx="92">
                  <c:v>1.5794392833729663E-2</c:v>
                </c:pt>
                <c:pt idx="93">
                  <c:v>1.4423323264914835E-2</c:v>
                </c:pt>
                <c:pt idx="94">
                  <c:v>1.3202008418689784E-2</c:v>
                </c:pt>
                <c:pt idx="95">
                  <c:v>1.205596653218907E-2</c:v>
                </c:pt>
                <c:pt idx="96">
                  <c:v>1.1026223599840427E-2</c:v>
                </c:pt>
                <c:pt idx="97">
                  <c:v>1.0079888265738912E-2</c:v>
                </c:pt>
                <c:pt idx="98">
                  <c:v>9.2094024813548364E-3</c:v>
                </c:pt>
                <c:pt idx="99">
                  <c:v>8.415729489498364E-3</c:v>
                </c:pt>
                <c:pt idx="100">
                  <c:v>7.7061604178313738E-3</c:v>
                </c:pt>
                <c:pt idx="101">
                  <c:v>7.0539319174159178E-3</c:v>
                </c:pt>
                <c:pt idx="102">
                  <c:v>6.4131608752835316E-3</c:v>
                </c:pt>
                <c:pt idx="103">
                  <c:v>5.8779101483962285E-3</c:v>
                </c:pt>
                <c:pt idx="104">
                  <c:v>5.3620569837525443E-3</c:v>
                </c:pt>
                <c:pt idx="105">
                  <c:v>4.9039905471772918E-3</c:v>
                </c:pt>
                <c:pt idx="106">
                  <c:v>4.4954783270400754E-3</c:v>
                </c:pt>
                <c:pt idx="107">
                  <c:v>4.1112835839431398E-3</c:v>
                </c:pt>
                <c:pt idx="108">
                  <c:v>3.7571186370267485E-3</c:v>
                </c:pt>
                <c:pt idx="109">
                  <c:v>3.4332270378101123E-3</c:v>
                </c:pt>
                <c:pt idx="110">
                  <c:v>3.1287682829075235E-3</c:v>
                </c:pt>
                <c:pt idx="111">
                  <c:v>2.8645076205297284E-3</c:v>
                </c:pt>
                <c:pt idx="112">
                  <c:v>2.6189245405402292E-3</c:v>
                </c:pt>
                <c:pt idx="113">
                  <c:v>2.3939323519717166E-3</c:v>
                </c:pt>
                <c:pt idx="114">
                  <c:v>2.1889000560844788E-3</c:v>
                </c:pt>
                <c:pt idx="115">
                  <c:v>2.002474605646184E-3</c:v>
                </c:pt>
                <c:pt idx="116">
                  <c:v>1.8304756877217576E-3</c:v>
                </c:pt>
                <c:pt idx="117">
                  <c:v>1.6734164623289749E-3</c:v>
                </c:pt>
                <c:pt idx="118">
                  <c:v>1.5412279328577386E-3</c:v>
                </c:pt>
              </c:numCache>
            </c:numRef>
          </c:xVal>
          <c:yVal>
            <c:numRef>
              <c:f>Table!$T$18:$T$136</c:f>
              <c:numCache>
                <c:formatCode>????0.000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0.99402323738720988</c:v>
                </c:pt>
                <c:pt idx="40">
                  <c:v>0.98766683883651518</c:v>
                </c:pt>
                <c:pt idx="41">
                  <c:v>0.97580950057070215</c:v>
                </c:pt>
                <c:pt idx="42">
                  <c:v>0.95859451807335527</c:v>
                </c:pt>
                <c:pt idx="43">
                  <c:v>0.93589463221068259</c:v>
                </c:pt>
                <c:pt idx="44">
                  <c:v>0.89065053412529571</c:v>
                </c:pt>
                <c:pt idx="45">
                  <c:v>0.78681417347031657</c:v>
                </c:pt>
                <c:pt idx="46">
                  <c:v>0.62743312342827995</c:v>
                </c:pt>
                <c:pt idx="47">
                  <c:v>0.44427198848495619</c:v>
                </c:pt>
                <c:pt idx="48">
                  <c:v>0.26397629284203294</c:v>
                </c:pt>
                <c:pt idx="49">
                  <c:v>0.16304441932427882</c:v>
                </c:pt>
                <c:pt idx="50">
                  <c:v>0.1208805210486662</c:v>
                </c:pt>
                <c:pt idx="51">
                  <c:v>9.467529741306413E-2</c:v>
                </c:pt>
                <c:pt idx="52">
                  <c:v>7.3613307527681915E-2</c:v>
                </c:pt>
                <c:pt idx="53">
                  <c:v>5.8069047150149378E-2</c:v>
                </c:pt>
                <c:pt idx="54">
                  <c:v>4.5911768995983815E-2</c:v>
                </c:pt>
                <c:pt idx="55">
                  <c:v>3.6795706459955335E-2</c:v>
                </c:pt>
                <c:pt idx="56">
                  <c:v>2.9281090827893874E-2</c:v>
                </c:pt>
                <c:pt idx="57">
                  <c:v>2.3496069997978042E-2</c:v>
                </c:pt>
                <c:pt idx="58">
                  <c:v>1.9003985633205933E-2</c:v>
                </c:pt>
                <c:pt idx="59">
                  <c:v>1.5541067044884449E-2</c:v>
                </c:pt>
                <c:pt idx="60">
                  <c:v>1.2784743288480671E-2</c:v>
                </c:pt>
                <c:pt idx="61">
                  <c:v>1.0422228108440845E-2</c:v>
                </c:pt>
                <c:pt idx="62">
                  <c:v>8.5575078591058062E-3</c:v>
                </c:pt>
                <c:pt idx="63">
                  <c:v>7.0221432326779132E-3</c:v>
                </c:pt>
                <c:pt idx="64">
                  <c:v>5.8068831202898741E-3</c:v>
                </c:pt>
                <c:pt idx="65">
                  <c:v>4.7703413972258746E-3</c:v>
                </c:pt>
                <c:pt idx="66">
                  <c:v>3.9002816937996343E-3</c:v>
                </c:pt>
                <c:pt idx="67">
                  <c:v>3.1965753529996643E-3</c:v>
                </c:pt>
                <c:pt idx="68">
                  <c:v>2.6068568328299069E-3</c:v>
                </c:pt>
                <c:pt idx="69">
                  <c:v>2.1262513621979062E-3</c:v>
                </c:pt>
                <c:pt idx="70">
                  <c:v>1.7475838813418854E-3</c:v>
                </c:pt>
                <c:pt idx="71">
                  <c:v>1.4306451977091905E-3</c:v>
                </c:pt>
                <c:pt idx="72">
                  <c:v>1.1690902757600652E-3</c:v>
                </c:pt>
                <c:pt idx="73">
                  <c:v>9.5957752925079909E-4</c:v>
                </c:pt>
                <c:pt idx="74">
                  <c:v>7.7777330842143666E-4</c:v>
                </c:pt>
                <c:pt idx="75">
                  <c:v>6.2987649026780002E-4</c:v>
                </c:pt>
                <c:pt idx="76">
                  <c:v>5.0797629756216267E-4</c:v>
                </c:pt>
                <c:pt idx="77">
                  <c:v>4.148891569101254E-4</c:v>
                </c:pt>
                <c:pt idx="78">
                  <c:v>3.3919973945883974E-4</c:v>
                </c:pt>
                <c:pt idx="79">
                  <c:v>2.7367354367169305E-4</c:v>
                </c:pt>
                <c:pt idx="80">
                  <c:v>2.2357352760782323E-4</c:v>
                </c:pt>
                <c:pt idx="81">
                  <c:v>1.8459533368486714E-4</c:v>
                </c:pt>
                <c:pt idx="82">
                  <c:v>1.5081210226997044E-4</c:v>
                </c:pt>
                <c:pt idx="83">
                  <c:v>1.2351685334832663E-4</c:v>
                </c:pt>
                <c:pt idx="84">
                  <c:v>1.0131744701236123E-4</c:v>
                </c:pt>
                <c:pt idx="85">
                  <c:v>8.1988990201620204E-5</c:v>
                </c:pt>
                <c:pt idx="86">
                  <c:v>6.6853155808788145E-5</c:v>
                </c:pt>
                <c:pt idx="87">
                  <c:v>5.3934917265796578E-5</c:v>
                </c:pt>
                <c:pt idx="88">
                  <c:v>4.3552683525294178E-5</c:v>
                </c:pt>
                <c:pt idx="89">
                  <c:v>3.4800592182082646E-5</c:v>
                </c:pt>
                <c:pt idx="90">
                  <c:v>2.7920687668103739E-5</c:v>
                </c:pt>
                <c:pt idx="91">
                  <c:v>2.1801227739981499E-5</c:v>
                </c:pt>
                <c:pt idx="92">
                  <c:v>1.7671199685764805E-5</c:v>
                </c:pt>
                <c:pt idx="93">
                  <c:v>1.403027676316615E-5</c:v>
                </c:pt>
                <c:pt idx="94">
                  <c:v>1.1089773808481418E-5</c:v>
                </c:pt>
                <c:pt idx="95">
                  <c:v>8.6605486830926282E-6</c:v>
                </c:pt>
                <c:pt idx="96">
                  <c:v>6.7435958716055566E-6</c:v>
                </c:pt>
                <c:pt idx="97">
                  <c:v>5.205651946948997E-6</c:v>
                </c:pt>
                <c:pt idx="98">
                  <c:v>4.015477161223302E-6</c:v>
                </c:pt>
                <c:pt idx="99">
                  <c:v>3.0551044357673973E-6</c:v>
                </c:pt>
                <c:pt idx="100">
                  <c:v>2.3341220615202829E-6</c:v>
                </c:pt>
                <c:pt idx="101">
                  <c:v>1.7692464097107674E-6</c:v>
                </c:pt>
                <c:pt idx="102">
                  <c:v>1.315304646087867E-6</c:v>
                </c:pt>
                <c:pt idx="103">
                  <c:v>9.6665944493423694E-7</c:v>
                </c:pt>
                <c:pt idx="104">
                  <c:v>7.0372427840581508E-7</c:v>
                </c:pt>
                <c:pt idx="105">
                  <c:v>4.9137777824448392E-7</c:v>
                </c:pt>
                <c:pt idx="106">
                  <c:v>3.3842728364152919E-7</c:v>
                </c:pt>
                <c:pt idx="107">
                  <c:v>2.6646971784671791E-7</c:v>
                </c:pt>
                <c:pt idx="108">
                  <c:v>1.7299009746896132E-7</c:v>
                </c:pt>
                <c:pt idx="109">
                  <c:v>1.153765557537767E-7</c:v>
                </c:pt>
                <c:pt idx="110">
                  <c:v>7.5245740749352308E-8</c:v>
                </c:pt>
                <c:pt idx="111">
                  <c:v>4.5488981581520704E-8</c:v>
                </c:pt>
                <c:pt idx="112">
                  <c:v>2.8185886846721075E-8</c:v>
                </c:pt>
                <c:pt idx="113">
                  <c:v>1.7342553171317832E-8</c:v>
                </c:pt>
                <c:pt idx="114">
                  <c:v>6.0106996047082362E-9</c:v>
                </c:pt>
                <c:pt idx="115">
                  <c:v>1.584918751795783E-9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1881088"/>
        <c:axId val="161899648"/>
      </c:scatterChart>
      <c:valAx>
        <c:axId val="161881088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Pore Throat Radius (microns)</a:t>
                </a:r>
              </a:p>
            </c:rich>
          </c:tx>
          <c:layout>
            <c:manualLayout>
              <c:xMode val="edge"/>
              <c:yMode val="edge"/>
              <c:x val="0.37003231262758834"/>
              <c:y val="0.925774602248809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161899648"/>
        <c:crosses val="autoZero"/>
        <c:crossBetween val="midCat"/>
      </c:valAx>
      <c:valAx>
        <c:axId val="16189964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Distribution Function</a:t>
                </a:r>
              </a:p>
            </c:rich>
          </c:tx>
          <c:layout>
            <c:manualLayout>
              <c:xMode val="edge"/>
              <c:yMode val="edge"/>
              <c:x val="1.753793951647354E-2"/>
              <c:y val="0.414806277095512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161881088"/>
        <c:crossesAt val="1.0000000000000041E-3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1677187322108751"/>
          <c:y val="0.16239996259681297"/>
          <c:w val="0.33481595735151376"/>
          <c:h val="0.19742154872150416"/>
        </c:manualLayout>
      </c:layout>
      <c:overlay val="0"/>
      <c:spPr>
        <a:solidFill>
          <a:srgbClr val="FFFFFF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solidFill>
      <a:schemeClr val="lt2"/>
    </a:solidFill>
    <a:ln w="3175">
      <a:solidFill>
        <a:sysClr val="windowText" lastClr="000000"/>
      </a:solidFill>
    </a:ln>
  </c:spPr>
  <c:txPr>
    <a:bodyPr/>
    <a:lstStyle/>
    <a:p>
      <a:pPr>
        <a:defRPr sz="8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866" r="0.75000000000000866" t="1" header="0.5" footer="0.5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059498670579271"/>
          <c:y val="0.15326975675683863"/>
          <c:w val="0.82827901825522265"/>
          <c:h val="0.72458777553660758"/>
        </c:manualLayout>
      </c:layout>
      <c:scatterChart>
        <c:scatterStyle val="lineMarker"/>
        <c:varyColors val="0"/>
        <c:ser>
          <c:idx val="0"/>
          <c:order val="0"/>
          <c:spPr>
            <a:ln w="15875">
              <a:solidFill>
                <a:schemeClr val="dk2">
                  <a:lumMod val="50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60000"/>
                  <a:lumOff val="40000"/>
                </a:schemeClr>
              </a:solidFill>
              <a:ln>
                <a:solidFill>
                  <a:schemeClr val="dk2">
                    <a:lumMod val="50000"/>
                  </a:schemeClr>
                </a:solidFill>
              </a:ln>
            </c:spPr>
          </c:marker>
          <c:xVal>
            <c:numRef>
              <c:f>Table!$F$18:$F$136</c:f>
              <c:numCache>
                <c:formatCode>???0.000</c:formatCode>
                <c:ptCount val="119"/>
                <c:pt idx="0">
                  <c:v>120.19026718980196</c:v>
                </c:pt>
                <c:pt idx="1">
                  <c:v>114.49418756888142</c:v>
                </c:pt>
                <c:pt idx="2">
                  <c:v>100.60767370742884</c:v>
                </c:pt>
                <c:pt idx="3">
                  <c:v>90.76019702437948</c:v>
                </c:pt>
                <c:pt idx="4">
                  <c:v>84.087056883749895</c:v>
                </c:pt>
                <c:pt idx="5">
                  <c:v>77.220966254796252</c:v>
                </c:pt>
                <c:pt idx="6">
                  <c:v>70.675782133347852</c:v>
                </c:pt>
                <c:pt idx="7">
                  <c:v>64.771965504679429</c:v>
                </c:pt>
                <c:pt idx="8">
                  <c:v>59.244371384927334</c:v>
                </c:pt>
                <c:pt idx="9">
                  <c:v>54.458332208648294</c:v>
                </c:pt>
                <c:pt idx="10">
                  <c:v>49.490580126396658</c:v>
                </c:pt>
                <c:pt idx="11">
                  <c:v>45.32763472721124</c:v>
                </c:pt>
                <c:pt idx="12">
                  <c:v>41.466223108407867</c:v>
                </c:pt>
                <c:pt idx="13">
                  <c:v>37.90707092945263</c:v>
                </c:pt>
                <c:pt idx="14">
                  <c:v>34.746675071411872</c:v>
                </c:pt>
                <c:pt idx="15">
                  <c:v>31.778976266549471</c:v>
                </c:pt>
                <c:pt idx="16">
                  <c:v>29.074533038993867</c:v>
                </c:pt>
                <c:pt idx="17">
                  <c:v>26.547288294648627</c:v>
                </c:pt>
                <c:pt idx="18">
                  <c:v>24.272779157723267</c:v>
                </c:pt>
                <c:pt idx="19">
                  <c:v>22.230930001395091</c:v>
                </c:pt>
                <c:pt idx="20">
                  <c:v>20.317279012686374</c:v>
                </c:pt>
                <c:pt idx="21">
                  <c:v>18.561845236530321</c:v>
                </c:pt>
                <c:pt idx="22">
                  <c:v>16.995191343943318</c:v>
                </c:pt>
                <c:pt idx="23">
                  <c:v>15.421172553149839</c:v>
                </c:pt>
                <c:pt idx="24">
                  <c:v>14.232836752848172</c:v>
                </c:pt>
                <c:pt idx="25">
                  <c:v>12.924275458535927</c:v>
                </c:pt>
                <c:pt idx="26">
                  <c:v>11.846863977367947</c:v>
                </c:pt>
                <c:pt idx="27">
                  <c:v>10.865241776401337</c:v>
                </c:pt>
                <c:pt idx="28">
                  <c:v>9.9269154452425834</c:v>
                </c:pt>
                <c:pt idx="29">
                  <c:v>9.0479813088264542</c:v>
                </c:pt>
                <c:pt idx="30">
                  <c:v>8.2717864653455919</c:v>
                </c:pt>
                <c:pt idx="31">
                  <c:v>7.5572112545152015</c:v>
                </c:pt>
                <c:pt idx="32">
                  <c:v>6.8915143660308624</c:v>
                </c:pt>
                <c:pt idx="33">
                  <c:v>6.3280962518365502</c:v>
                </c:pt>
                <c:pt idx="34">
                  <c:v>6.148845927614607</c:v>
                </c:pt>
                <c:pt idx="35">
                  <c:v>5.6280819708993626</c:v>
                </c:pt>
                <c:pt idx="36">
                  <c:v>5.0375614465980636</c:v>
                </c:pt>
                <c:pt idx="37">
                  <c:v>4.5460279676747719</c:v>
                </c:pt>
                <c:pt idx="38">
                  <c:v>4.1418393315919468</c:v>
                </c:pt>
                <c:pt idx="39">
                  <c:v>3.7126818983596208</c:v>
                </c:pt>
                <c:pt idx="40">
                  <c:v>3.5219644147837563</c:v>
                </c:pt>
                <c:pt idx="41">
                  <c:v>3.1150415055610492</c:v>
                </c:pt>
                <c:pt idx="42">
                  <c:v>2.8705587368355236</c:v>
                </c:pt>
                <c:pt idx="43">
                  <c:v>2.5876986004833746</c:v>
                </c:pt>
                <c:pt idx="44">
                  <c:v>2.4199367320885994</c:v>
                </c:pt>
                <c:pt idx="45">
                  <c:v>2.2168862720895808</c:v>
                </c:pt>
                <c:pt idx="46">
                  <c:v>1.9949066024560385</c:v>
                </c:pt>
                <c:pt idx="47">
                  <c:v>1.8140547668980609</c:v>
                </c:pt>
                <c:pt idx="48">
                  <c:v>1.6644479647144204</c:v>
                </c:pt>
                <c:pt idx="49">
                  <c:v>1.5208677009062885</c:v>
                </c:pt>
                <c:pt idx="50">
                  <c:v>1.3870242766324186</c:v>
                </c:pt>
                <c:pt idx="51">
                  <c:v>1.2687322785340593</c:v>
                </c:pt>
                <c:pt idx="52">
                  <c:v>1.1601269785604369</c:v>
                </c:pt>
                <c:pt idx="53">
                  <c:v>1.0554422614834589</c:v>
                </c:pt>
                <c:pt idx="54">
                  <c:v>0.96528433771078526</c:v>
                </c:pt>
                <c:pt idx="55">
                  <c:v>0.88242235740467434</c:v>
                </c:pt>
                <c:pt idx="56">
                  <c:v>0.80662310053513198</c:v>
                </c:pt>
                <c:pt idx="57">
                  <c:v>0.733199600747515</c:v>
                </c:pt>
                <c:pt idx="58">
                  <c:v>0.67114254623342273</c:v>
                </c:pt>
                <c:pt idx="59">
                  <c:v>0.61272315377339193</c:v>
                </c:pt>
                <c:pt idx="60">
                  <c:v>0.55996871293502914</c:v>
                </c:pt>
                <c:pt idx="61">
                  <c:v>0.5127090225679245</c:v>
                </c:pt>
                <c:pt idx="62">
                  <c:v>0.46798404584771414</c:v>
                </c:pt>
                <c:pt idx="63">
                  <c:v>0.42762889544711363</c:v>
                </c:pt>
                <c:pt idx="64">
                  <c:v>0.39066995893443213</c:v>
                </c:pt>
                <c:pt idx="65">
                  <c:v>0.35728177526473776</c:v>
                </c:pt>
                <c:pt idx="66">
                  <c:v>0.32654304222566227</c:v>
                </c:pt>
                <c:pt idx="67">
                  <c:v>0.29876644130713897</c:v>
                </c:pt>
                <c:pt idx="68">
                  <c:v>0.27281951631248452</c:v>
                </c:pt>
                <c:pt idx="69">
                  <c:v>0.24941203111994756</c:v>
                </c:pt>
                <c:pt idx="70">
                  <c:v>0.22787370879912966</c:v>
                </c:pt>
                <c:pt idx="71">
                  <c:v>0.20847445180178956</c:v>
                </c:pt>
                <c:pt idx="72">
                  <c:v>0.19041755456774206</c:v>
                </c:pt>
                <c:pt idx="73">
                  <c:v>0.17477595373016822</c:v>
                </c:pt>
                <c:pt idx="74">
                  <c:v>0.15962972785408791</c:v>
                </c:pt>
                <c:pt idx="75">
                  <c:v>0.14559412877198247</c:v>
                </c:pt>
                <c:pt idx="76">
                  <c:v>0.13293344249308403</c:v>
                </c:pt>
                <c:pt idx="77">
                  <c:v>0.12148871363949977</c:v>
                </c:pt>
                <c:pt idx="78">
                  <c:v>0.11130195995744241</c:v>
                </c:pt>
                <c:pt idx="79">
                  <c:v>0.10129804180766031</c:v>
                </c:pt>
                <c:pt idx="80">
                  <c:v>9.2669998216866334E-2</c:v>
                </c:pt>
                <c:pt idx="81">
                  <c:v>8.4957485922712128E-2</c:v>
                </c:pt>
                <c:pt idx="82">
                  <c:v>7.7416521775121913E-2</c:v>
                </c:pt>
                <c:pt idx="83">
                  <c:v>7.0836169134347496E-2</c:v>
                </c:pt>
                <c:pt idx="84">
                  <c:v>6.4829005720301022E-2</c:v>
                </c:pt>
                <c:pt idx="85">
                  <c:v>5.9181456950497278E-2</c:v>
                </c:pt>
                <c:pt idx="86">
                  <c:v>5.4140045400357904E-2</c:v>
                </c:pt>
                <c:pt idx="87">
                  <c:v>4.9453875425728981E-2</c:v>
                </c:pt>
                <c:pt idx="88">
                  <c:v>4.518576358419505E-2</c:v>
                </c:pt>
                <c:pt idx="89">
                  <c:v>4.1327137432804084E-2</c:v>
                </c:pt>
                <c:pt idx="90">
                  <c:v>3.7823557131025025E-2</c:v>
                </c:pt>
                <c:pt idx="91">
                  <c:v>3.4556993497310243E-2</c:v>
                </c:pt>
                <c:pt idx="92">
                  <c:v>3.1588785667459325E-2</c:v>
                </c:pt>
                <c:pt idx="93">
                  <c:v>2.884664652982967E-2</c:v>
                </c:pt>
                <c:pt idx="94">
                  <c:v>2.6404016837379567E-2</c:v>
                </c:pt>
                <c:pt idx="95">
                  <c:v>2.411193306437814E-2</c:v>
                </c:pt>
                <c:pt idx="96">
                  <c:v>2.2052447199680855E-2</c:v>
                </c:pt>
                <c:pt idx="97">
                  <c:v>2.0159776531477824E-2</c:v>
                </c:pt>
                <c:pt idx="98">
                  <c:v>1.8418804962709673E-2</c:v>
                </c:pt>
                <c:pt idx="99">
                  <c:v>1.6831458978996728E-2</c:v>
                </c:pt>
                <c:pt idx="100">
                  <c:v>1.5412320835662748E-2</c:v>
                </c:pt>
                <c:pt idx="101">
                  <c:v>1.4107863834831836E-2</c:v>
                </c:pt>
                <c:pt idx="102">
                  <c:v>1.2826321750567063E-2</c:v>
                </c:pt>
                <c:pt idx="103">
                  <c:v>1.1755820296792457E-2</c:v>
                </c:pt>
                <c:pt idx="104">
                  <c:v>1.0724113967505089E-2</c:v>
                </c:pt>
                <c:pt idx="105">
                  <c:v>9.8079810943545835E-3</c:v>
                </c:pt>
                <c:pt idx="106">
                  <c:v>8.9909566540801508E-3</c:v>
                </c:pt>
                <c:pt idx="107">
                  <c:v>8.2225671678862796E-3</c:v>
                </c:pt>
                <c:pt idx="108">
                  <c:v>7.5142372740534969E-3</c:v>
                </c:pt>
                <c:pt idx="109">
                  <c:v>6.8664540756202246E-3</c:v>
                </c:pt>
                <c:pt idx="110">
                  <c:v>6.2575365658150469E-3</c:v>
                </c:pt>
                <c:pt idx="111">
                  <c:v>5.7290152410594567E-3</c:v>
                </c:pt>
                <c:pt idx="112">
                  <c:v>5.2378490810804585E-3</c:v>
                </c:pt>
                <c:pt idx="113">
                  <c:v>4.7878647039434332E-3</c:v>
                </c:pt>
                <c:pt idx="114">
                  <c:v>4.3778001121689575E-3</c:v>
                </c:pt>
                <c:pt idx="115">
                  <c:v>4.004949211292368E-3</c:v>
                </c:pt>
                <c:pt idx="116">
                  <c:v>3.6609513754435152E-3</c:v>
                </c:pt>
                <c:pt idx="117">
                  <c:v>3.3468329246579497E-3</c:v>
                </c:pt>
                <c:pt idx="118">
                  <c:v>3.0824558657154772E-3</c:v>
                </c:pt>
              </c:numCache>
            </c:numRef>
          </c:xVal>
          <c:yVal>
            <c:numRef>
              <c:f>Table!$H$18:$H$136</c:f>
              <c:numCache>
                <c:formatCode>????0.00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6.7052727826881861E-2</c:v>
                </c:pt>
                <c:pt idx="40">
                  <c:v>7.924413288631528E-2</c:v>
                </c:pt>
                <c:pt idx="41">
                  <c:v>0.18896677842121296</c:v>
                </c:pt>
                <c:pt idx="42">
                  <c:v>0.32307223407497704</c:v>
                </c:pt>
                <c:pt idx="43">
                  <c:v>0.52423041755562294</c:v>
                </c:pt>
                <c:pt idx="44">
                  <c:v>1.1947576958244441</c:v>
                </c:pt>
                <c:pt idx="45">
                  <c:v>3.2672965559280716</c:v>
                </c:pt>
                <c:pt idx="46">
                  <c:v>6.1932337701920144</c:v>
                </c:pt>
                <c:pt idx="47">
                  <c:v>8.607131971959765</c:v>
                </c:pt>
                <c:pt idx="48">
                  <c:v>10.06400487656202</c:v>
                </c:pt>
                <c:pt idx="49">
                  <c:v>6.7479427003962265</c:v>
                </c:pt>
                <c:pt idx="50">
                  <c:v>3.389210606522397</c:v>
                </c:pt>
                <c:pt idx="51">
                  <c:v>2.5175251447729323</c:v>
                </c:pt>
                <c:pt idx="52">
                  <c:v>2.4199939042974776</c:v>
                </c:pt>
                <c:pt idx="53">
                  <c:v>2.1578786955196563</c:v>
                </c:pt>
                <c:pt idx="54">
                  <c:v>2.0176775373361764</c:v>
                </c:pt>
                <c:pt idx="55">
                  <c:v>1.8104236513258201</c:v>
                </c:pt>
                <c:pt idx="56">
                  <c:v>1.7860408412069475</c:v>
                </c:pt>
                <c:pt idx="57">
                  <c:v>1.6641267906126203</c:v>
                </c:pt>
                <c:pt idx="58">
                  <c:v>1.5422127400182788</c:v>
                </c:pt>
                <c:pt idx="59">
                  <c:v>1.4263943919536786</c:v>
                </c:pt>
                <c:pt idx="60">
                  <c:v>1.3593416641267879</c:v>
                </c:pt>
                <c:pt idx="61">
                  <c:v>1.3898201767753662</c:v>
                </c:pt>
                <c:pt idx="62">
                  <c:v>1.316671746418784</c:v>
                </c:pt>
                <c:pt idx="63">
                  <c:v>1.2983846388296243</c:v>
                </c:pt>
                <c:pt idx="64">
                  <c:v>1.2313319110027479</c:v>
                </c:pt>
                <c:pt idx="65">
                  <c:v>1.2557147211216062</c:v>
                </c:pt>
                <c:pt idx="66">
                  <c:v>1.2618104236513261</c:v>
                </c:pt>
                <c:pt idx="67">
                  <c:v>1.2191405059433151</c:v>
                </c:pt>
                <c:pt idx="68">
                  <c:v>1.2252362084730208</c:v>
                </c:pt>
                <c:pt idx="69">
                  <c:v>1.1947576958244497</c:v>
                </c:pt>
                <c:pt idx="70">
                  <c:v>1.127704967997559</c:v>
                </c:pt>
                <c:pt idx="71">
                  <c:v>1.127704967997559</c:v>
                </c:pt>
                <c:pt idx="72">
                  <c:v>1.1155135629381334</c:v>
                </c:pt>
                <c:pt idx="73">
                  <c:v>1.0606522401706826</c:v>
                </c:pt>
                <c:pt idx="74">
                  <c:v>1.1033221578786936</c:v>
                </c:pt>
                <c:pt idx="75">
                  <c:v>1.0789393477598139</c:v>
                </c:pt>
                <c:pt idx="76">
                  <c:v>1.0667479427004025</c:v>
                </c:pt>
                <c:pt idx="77">
                  <c:v>0.97531240475464642</c:v>
                </c:pt>
                <c:pt idx="78">
                  <c:v>0.94483389210607527</c:v>
                </c:pt>
                <c:pt idx="79">
                  <c:v>0.98750380981407204</c:v>
                </c:pt>
                <c:pt idx="80">
                  <c:v>0.90216397439805007</c:v>
                </c:pt>
                <c:pt idx="81">
                  <c:v>0.83511124657115943</c:v>
                </c:pt>
                <c:pt idx="82">
                  <c:v>0.87168546174947892</c:v>
                </c:pt>
                <c:pt idx="83">
                  <c:v>0.84120694910087934</c:v>
                </c:pt>
                <c:pt idx="84">
                  <c:v>0.81682413898201389</c:v>
                </c:pt>
                <c:pt idx="85">
                  <c:v>0.85339835416031917</c:v>
                </c:pt>
                <c:pt idx="86">
                  <c:v>0.79853703139286836</c:v>
                </c:pt>
                <c:pt idx="87">
                  <c:v>0.8168241389820281</c:v>
                </c:pt>
                <c:pt idx="88">
                  <c:v>0.78634562633342853</c:v>
                </c:pt>
                <c:pt idx="89">
                  <c:v>0.79244132886313423</c:v>
                </c:pt>
                <c:pt idx="90">
                  <c:v>0.74367570862543175</c:v>
                </c:pt>
                <c:pt idx="91">
                  <c:v>0.79244132886316265</c:v>
                </c:pt>
                <c:pt idx="92">
                  <c:v>0.64004876562023583</c:v>
                </c:pt>
                <c:pt idx="93">
                  <c:v>0.6766229807985269</c:v>
                </c:pt>
                <c:pt idx="94">
                  <c:v>0.65224017067967566</c:v>
                </c:pt>
                <c:pt idx="95">
                  <c:v>0.64614446814995574</c:v>
                </c:pt>
                <c:pt idx="96">
                  <c:v>0.60957025297165046</c:v>
                </c:pt>
                <c:pt idx="97">
                  <c:v>0.58518744285278501</c:v>
                </c:pt>
                <c:pt idx="98">
                  <c:v>0.54251752514477403</c:v>
                </c:pt>
                <c:pt idx="99">
                  <c:v>0.5242304175556427</c:v>
                </c:pt>
                <c:pt idx="100">
                  <c:v>0.46936909478816347</c:v>
                </c:pt>
                <c:pt idx="101">
                  <c:v>0.43889058213959231</c:v>
                </c:pt>
                <c:pt idx="102">
                  <c:v>0.42669917708013827</c:v>
                </c:pt>
                <c:pt idx="103">
                  <c:v>0.39012496190187562</c:v>
                </c:pt>
                <c:pt idx="104">
                  <c:v>0.35355074672357034</c:v>
                </c:pt>
                <c:pt idx="105">
                  <c:v>0.3413593416641163</c:v>
                </c:pt>
                <c:pt idx="106">
                  <c:v>0.29259372142639961</c:v>
                </c:pt>
                <c:pt idx="107">
                  <c:v>0.16458396830233823</c:v>
                </c:pt>
                <c:pt idx="108">
                  <c:v>0.25601950624809433</c:v>
                </c:pt>
                <c:pt idx="109">
                  <c:v>0.1889667784212179</c:v>
                </c:pt>
                <c:pt idx="110">
                  <c:v>0.15848826577263253</c:v>
                </c:pt>
                <c:pt idx="111">
                  <c:v>0.14020115818347278</c:v>
                </c:pt>
                <c:pt idx="112">
                  <c:v>9.7531240475476011E-2</c:v>
                </c:pt>
                <c:pt idx="113">
                  <c:v>7.3148430356582139E-2</c:v>
                </c:pt>
                <c:pt idx="114">
                  <c:v>9.1435537945756096E-2</c:v>
                </c:pt>
                <c:pt idx="115">
                  <c:v>4.2669917708025196E-2</c:v>
                </c:pt>
                <c:pt idx="116">
                  <c:v>1.8287107589145535E-2</c:v>
                </c:pt>
                <c:pt idx="117">
                  <c:v>0</c:v>
                </c:pt>
                <c:pt idx="1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2210944"/>
        <c:axId val="162213248"/>
      </c:scatterChart>
      <c:valAx>
        <c:axId val="162210944"/>
        <c:scaling>
          <c:logBase val="10"/>
          <c:orientation val="minMax"/>
          <c:max val="100"/>
          <c:min val="1.0000000000000041E-3"/>
        </c:scaling>
        <c:delete val="0"/>
        <c:axPos val="t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gradFill rotWithShape="1"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Pore Aperture Diameter (microns)</a:t>
                </a:r>
              </a:p>
            </c:rich>
          </c:tx>
          <c:layout>
            <c:manualLayout>
              <c:xMode val="edge"/>
              <c:yMode val="edge"/>
              <c:x val="0.36675497039079008"/>
              <c:y val="0.92355761574540307"/>
            </c:manualLayout>
          </c:layout>
          <c:overlay val="0"/>
          <c:spPr>
            <a:noFill/>
            <a:ln w="25400">
              <a:noFill/>
            </a:ln>
          </c:spPr>
        </c:title>
        <c:numFmt formatCode="??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/>
            </a:pPr>
            <a:endParaRPr lang="en-US"/>
          </a:p>
        </c:txPr>
        <c:crossAx val="162213248"/>
        <c:crosses val="autoZero"/>
        <c:crossBetween val="midCat"/>
        <c:majorUnit val="10"/>
        <c:minorUnit val="10"/>
      </c:valAx>
      <c:valAx>
        <c:axId val="162213248"/>
        <c:scaling>
          <c:orientation val="maxMin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Incremental Intrusion as Percent of Pore Volume</a:t>
                </a:r>
              </a:p>
            </c:rich>
          </c:tx>
          <c:layout>
            <c:manualLayout>
              <c:xMode val="edge"/>
              <c:yMode val="edge"/>
              <c:x val="1.0568979145875295E-2"/>
              <c:y val="0.2125122153495171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580"/>
            </a:pPr>
            <a:endParaRPr lang="en-US"/>
          </a:p>
        </c:txPr>
        <c:crossAx val="162210944"/>
        <c:crossesAt val="1.0000000000000041E-3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0"/>
    <c:dispBlanksAs val="gap"/>
    <c:showDLblsOverMax val="0"/>
  </c:chart>
  <c:spPr>
    <a:solidFill>
      <a:schemeClr val="accent2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0.75000000000000955" l="0.70000000000000062" r="0.70000000000000062" t="0.75000000000000955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image" Target="../media/image2.jpeg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</xdr:col>
      <xdr:colOff>476250</xdr:colOff>
      <xdr:row>2</xdr:row>
      <xdr:rowOff>152400</xdr:rowOff>
    </xdr:to>
    <xdr:pic>
      <xdr:nvPicPr>
        <xdr:cNvPr id="33822" name="Picture 2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9050"/>
          <a:ext cx="1110870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104775</xdr:rowOff>
    </xdr:to>
    <xdr:pic>
      <xdr:nvPicPr>
        <xdr:cNvPr id="27925" name="Picture 20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058872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9525</xdr:colOff>
      <xdr:row>7</xdr:row>
      <xdr:rowOff>161924</xdr:rowOff>
    </xdr:from>
    <xdr:to>
      <xdr:col>5</xdr:col>
      <xdr:colOff>19812</xdr:colOff>
      <xdr:row>26</xdr:row>
      <xdr:rowOff>2666</xdr:rowOff>
    </xdr:to>
    <xdr:graphicFrame macro="">
      <xdr:nvGraphicFramePr>
        <xdr:cNvPr id="27923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762</xdr:colOff>
      <xdr:row>8</xdr:row>
      <xdr:rowOff>2666</xdr:rowOff>
    </xdr:from>
    <xdr:to>
      <xdr:col>10</xdr:col>
      <xdr:colOff>11049</xdr:colOff>
      <xdr:row>26</xdr:row>
      <xdr:rowOff>5333</xdr:rowOff>
    </xdr:to>
    <xdr:graphicFrame macro="">
      <xdr:nvGraphicFramePr>
        <xdr:cNvPr id="11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8</xdr:row>
      <xdr:rowOff>0</xdr:rowOff>
    </xdr:from>
    <xdr:to>
      <xdr:col>14</xdr:col>
      <xdr:colOff>540444</xdr:colOff>
      <xdr:row>26</xdr:row>
      <xdr:rowOff>2667</xdr:rowOff>
    </xdr:to>
    <xdr:graphicFrame macro="">
      <xdr:nvGraphicFramePr>
        <xdr:cNvPr id="27922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</xdr:colOff>
      <xdr:row>25</xdr:row>
      <xdr:rowOff>147759</xdr:rowOff>
    </xdr:from>
    <xdr:to>
      <xdr:col>5</xdr:col>
      <xdr:colOff>19812</xdr:colOff>
      <xdr:row>43</xdr:row>
      <xdr:rowOff>161924</xdr:rowOff>
    </xdr:to>
    <xdr:graphicFrame macro="">
      <xdr:nvGraphicFramePr>
        <xdr:cNvPr id="27924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540445</xdr:colOff>
      <xdr:row>25</xdr:row>
      <xdr:rowOff>147761</xdr:rowOff>
    </xdr:from>
    <xdr:to>
      <xdr:col>15</xdr:col>
      <xdr:colOff>0</xdr:colOff>
      <xdr:row>44</xdr:row>
      <xdr:rowOff>0</xdr:rowOff>
    </xdr:to>
    <xdr:graphicFrame macro="">
      <xdr:nvGraphicFramePr>
        <xdr:cNvPr id="10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</xdr:col>
      <xdr:colOff>476250</xdr:colOff>
      <xdr:row>2</xdr:row>
      <xdr:rowOff>114300</xdr:rowOff>
    </xdr:to>
    <xdr:pic>
      <xdr:nvPicPr>
        <xdr:cNvPr id="29826" name="Picture 2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9050"/>
          <a:ext cx="1069385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104775</xdr:rowOff>
    </xdr:to>
    <xdr:pic>
      <xdr:nvPicPr>
        <xdr:cNvPr id="29827" name="Picture 20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069385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14</xdr:col>
      <xdr:colOff>862742</xdr:colOff>
      <xdr:row>30</xdr:row>
      <xdr:rowOff>159258</xdr:rowOff>
    </xdr:to>
    <xdr:graphicFrame macro="">
      <xdr:nvGraphicFramePr>
        <xdr:cNvPr id="2983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8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983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7</xdr:col>
      <xdr:colOff>320802</xdr:colOff>
      <xdr:row>53</xdr:row>
      <xdr:rowOff>159258</xdr:rowOff>
    </xdr:to>
    <xdr:graphicFrame macro="">
      <xdr:nvGraphicFramePr>
        <xdr:cNvPr id="9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3048</xdr:colOff>
      <xdr:row>31</xdr:row>
      <xdr:rowOff>0</xdr:rowOff>
    </xdr:from>
    <xdr:to>
      <xdr:col>15</xdr:col>
      <xdr:colOff>0</xdr:colOff>
      <xdr:row>53</xdr:row>
      <xdr:rowOff>159258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142875</xdr:rowOff>
    </xdr:to>
    <xdr:pic>
      <xdr:nvPicPr>
        <xdr:cNvPr id="2080" name="Picture 3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110870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1"/>
  <sheetViews>
    <sheetView showGridLines="0" tabSelected="1" workbookViewId="0">
      <pane xSplit="2" ySplit="17" topLeftCell="C18" activePane="bottomRight" state="frozen"/>
      <selection activeCell="E35" sqref="E35"/>
      <selection pane="topRight" activeCell="E35" sqref="E35"/>
      <selection pane="bottomLeft" activeCell="E35" sqref="E35"/>
      <selection pane="bottomRight" activeCell="A11" sqref="A11"/>
    </sheetView>
  </sheetViews>
  <sheetFormatPr defaultColWidth="8.85546875" defaultRowHeight="12.75" x14ac:dyDescent="0.2"/>
  <cols>
    <col min="1" max="1" width="8.85546875" style="65"/>
    <col min="2" max="2" width="10.7109375" style="65" customWidth="1"/>
    <col min="3" max="3" width="16.140625" style="65" customWidth="1"/>
    <col min="4" max="4" width="10.5703125" style="65" customWidth="1"/>
    <col min="5" max="5" width="9.5703125" style="65" customWidth="1"/>
    <col min="6" max="6" width="10.7109375" style="65" customWidth="1"/>
    <col min="7" max="14" width="9.5703125" style="65" customWidth="1"/>
    <col min="15" max="15" width="8.85546875" style="65"/>
    <col min="16" max="17" width="10.7109375" style="65" customWidth="1"/>
    <col min="18" max="19" width="8.85546875" style="65"/>
    <col min="20" max="20" width="9.5703125" style="65" bestFit="1" customWidth="1"/>
    <col min="21" max="21" width="8.85546875" style="65"/>
    <col min="22" max="22" width="7.5703125" style="65" customWidth="1"/>
    <col min="23" max="23" width="11.5703125" style="150" bestFit="1" customWidth="1"/>
    <col min="24" max="24" width="13" style="150" customWidth="1"/>
    <col min="25" max="37" width="8.85546875" style="150"/>
    <col min="38" max="38" width="15.85546875" style="150" customWidth="1"/>
    <col min="39" max="16384" width="8.85546875" style="150"/>
  </cols>
  <sheetData>
    <row r="1" spans="1:40" x14ac:dyDescent="0.2">
      <c r="X1" s="22"/>
      <c r="Y1" s="27"/>
      <c r="Z1" s="27"/>
      <c r="AA1" s="47"/>
      <c r="AB1" s="47"/>
    </row>
    <row r="2" spans="1:40" x14ac:dyDescent="0.2">
      <c r="X2" s="70"/>
      <c r="Y2" s="70"/>
      <c r="Z2" s="38"/>
      <c r="AA2" s="38"/>
      <c r="AB2" s="54"/>
      <c r="AC2" s="54"/>
    </row>
    <row r="3" spans="1:40" x14ac:dyDescent="0.2">
      <c r="X3" s="26"/>
      <c r="Y3" s="84"/>
      <c r="Z3" s="10"/>
      <c r="AA3" s="54"/>
      <c r="AB3" s="105"/>
      <c r="AC3" s="105"/>
    </row>
    <row r="4" spans="1:40" x14ac:dyDescent="0.2">
      <c r="X4" s="26"/>
      <c r="Y4" s="84"/>
      <c r="Z4" s="10"/>
      <c r="AA4" s="54"/>
      <c r="AB4" s="105"/>
      <c r="AC4" s="105"/>
      <c r="AL4" s="23"/>
      <c r="AM4" s="23"/>
      <c r="AN4" s="23"/>
    </row>
    <row r="5" spans="1:40" ht="15.75" x14ac:dyDescent="0.25">
      <c r="A5" s="160" t="s">
        <v>11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07"/>
      <c r="O5" s="107"/>
      <c r="P5" s="107"/>
      <c r="Q5" s="107"/>
      <c r="R5" s="107"/>
      <c r="S5" s="107"/>
      <c r="T5" s="91"/>
      <c r="U5" s="3"/>
      <c r="V5" s="3"/>
      <c r="W5" s="84"/>
      <c r="X5" s="26"/>
      <c r="Y5" s="84"/>
      <c r="Z5" s="54"/>
      <c r="AA5" s="35"/>
      <c r="AB5" s="35"/>
      <c r="AC5" s="35"/>
      <c r="AL5" s="23"/>
      <c r="AM5" s="23"/>
      <c r="AN5" s="23"/>
    </row>
    <row r="6" spans="1:40" x14ac:dyDescent="0.2">
      <c r="A6" s="147"/>
      <c r="B6" s="3"/>
      <c r="C6" s="3"/>
      <c r="D6" s="3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3"/>
      <c r="P6" s="3"/>
      <c r="Q6" s="3"/>
      <c r="R6" s="147"/>
      <c r="S6" s="3"/>
      <c r="T6" s="3"/>
      <c r="U6" s="3"/>
      <c r="V6" s="3"/>
      <c r="W6" s="84"/>
      <c r="X6" s="26"/>
      <c r="Y6" s="84"/>
      <c r="Z6" s="54"/>
      <c r="AA6" s="96"/>
      <c r="AB6" s="10"/>
      <c r="AC6" s="10"/>
      <c r="AL6" s="23"/>
      <c r="AM6" s="23"/>
      <c r="AN6" s="23"/>
    </row>
    <row r="7" spans="1:40" ht="12.4" customHeight="1" x14ac:dyDescent="0.2">
      <c r="A7" s="100" t="str">
        <f>Table!A7</f>
        <v>NordAq Energy Inc.</v>
      </c>
      <c r="B7" s="147"/>
      <c r="C7" s="147"/>
      <c r="D7" s="147"/>
      <c r="E7" s="3"/>
      <c r="F7" s="3"/>
      <c r="G7" s="3"/>
      <c r="H7" s="3"/>
      <c r="I7" s="65" t="str">
        <f>Table!L7</f>
        <v>Sample Number:</v>
      </c>
      <c r="M7" s="49" t="str">
        <f>Table!P7</f>
        <v>6</v>
      </c>
      <c r="N7" s="3"/>
      <c r="O7" s="100"/>
      <c r="P7" s="31"/>
      <c r="Q7" s="70"/>
      <c r="R7" s="70"/>
      <c r="S7" s="38"/>
      <c r="T7" s="96"/>
      <c r="U7" s="24"/>
      <c r="V7" s="10"/>
      <c r="AE7" s="117"/>
      <c r="AF7" s="118"/>
      <c r="AG7" s="118"/>
    </row>
    <row r="8" spans="1:40" ht="12.4" customHeight="1" x14ac:dyDescent="0.2">
      <c r="A8" s="100" t="str">
        <f>Table!A8</f>
        <v>East Simpson No. 2 (USGS/Husky 1980)</v>
      </c>
      <c r="B8" s="147"/>
      <c r="C8" s="147"/>
      <c r="D8" s="147"/>
      <c r="E8" s="147"/>
      <c r="F8" s="147"/>
      <c r="G8" s="147"/>
      <c r="H8" s="147"/>
      <c r="I8" s="65" t="str">
        <f>Table!L8</f>
        <v>Sample Depth, m:</v>
      </c>
      <c r="M8" s="29">
        <f>Table!P8</f>
        <v>6068.3</v>
      </c>
      <c r="N8" s="3"/>
      <c r="O8" s="100"/>
      <c r="P8" s="31"/>
      <c r="Q8" s="70"/>
      <c r="R8" s="70"/>
      <c r="S8" s="38"/>
      <c r="T8" s="96"/>
      <c r="U8" s="24"/>
      <c r="V8" s="10"/>
      <c r="AE8" s="159"/>
      <c r="AF8" s="118"/>
      <c r="AG8" s="118"/>
    </row>
    <row r="9" spans="1:40" ht="12.4" customHeight="1" x14ac:dyDescent="0.2">
      <c r="A9" s="100" t="str">
        <f>Table!A9</f>
        <v>Torok Sandstones Formation</v>
      </c>
      <c r="B9" s="147"/>
      <c r="C9" s="147"/>
      <c r="D9" s="147"/>
      <c r="E9" s="147"/>
      <c r="F9" s="147"/>
      <c r="G9" s="147"/>
      <c r="H9" s="147"/>
      <c r="I9" s="92" t="str">
        <f>Table!L9</f>
        <v>Permeability to Air (calc), mD:</v>
      </c>
      <c r="K9" s="147"/>
      <c r="L9" s="147"/>
      <c r="M9" s="120">
        <f>Table!P9</f>
        <v>2.1962670087397971</v>
      </c>
      <c r="N9" s="3"/>
      <c r="O9" s="100" t="s">
        <v>39</v>
      </c>
      <c r="P9" s="31"/>
      <c r="Q9" s="84"/>
      <c r="R9" s="70"/>
      <c r="S9" s="70"/>
      <c r="T9" s="138"/>
      <c r="U9" s="138"/>
      <c r="V9" s="32"/>
      <c r="AE9" s="159"/>
      <c r="AF9" s="118"/>
      <c r="AG9" s="118"/>
    </row>
    <row r="10" spans="1:40" ht="12.4" customHeight="1" x14ac:dyDescent="0.2">
      <c r="A10" s="100" t="str">
        <f>Table!A10</f>
        <v>HH-61176</v>
      </c>
      <c r="B10" s="147"/>
      <c r="C10" s="147"/>
      <c r="D10" s="147"/>
      <c r="E10" s="3"/>
      <c r="F10" s="3"/>
      <c r="G10" s="3"/>
      <c r="H10" s="3"/>
      <c r="I10" s="92" t="str">
        <f>Table!L10</f>
        <v>Porosity, fraction:</v>
      </c>
      <c r="K10" s="147"/>
      <c r="L10" s="147"/>
      <c r="M10" s="33">
        <f>K30</f>
        <v>0.14921824370284179</v>
      </c>
      <c r="N10" s="3"/>
      <c r="O10" s="16" t="s">
        <v>39</v>
      </c>
      <c r="P10" s="95"/>
      <c r="Q10" s="84"/>
      <c r="R10" s="70"/>
      <c r="S10" s="70"/>
      <c r="T10" s="138"/>
      <c r="U10" s="38"/>
      <c r="V10" s="32"/>
      <c r="AE10" s="159"/>
      <c r="AF10" s="118"/>
      <c r="AG10" s="118"/>
    </row>
    <row r="11" spans="1:40" ht="12.4" customHeight="1" x14ac:dyDescent="0.2">
      <c r="A11" s="14"/>
      <c r="B11" s="147"/>
      <c r="C11" s="147"/>
      <c r="D11" s="147"/>
      <c r="E11" s="3"/>
      <c r="F11" s="3"/>
      <c r="G11" s="3"/>
      <c r="H11" s="147"/>
      <c r="I11" s="65" t="str">
        <f>Table!L11</f>
        <v>Grain Density, grams/cc:</v>
      </c>
      <c r="M11" s="120">
        <f>L30</f>
        <v>2.6791143890057936</v>
      </c>
      <c r="N11" s="3"/>
      <c r="O11" s="16" t="s">
        <v>39</v>
      </c>
      <c r="P11" s="95"/>
      <c r="Q11" s="70"/>
      <c r="R11" s="22"/>
      <c r="S11" s="27"/>
      <c r="T11" s="27"/>
      <c r="U11" s="51"/>
      <c r="V11" s="150"/>
      <c r="AE11" s="159"/>
      <c r="AF11" s="118"/>
      <c r="AG11" s="118"/>
    </row>
    <row r="12" spans="1:40" ht="12.4" customHeight="1" x14ac:dyDescent="0.2">
      <c r="A12" s="100"/>
      <c r="B12" s="147"/>
      <c r="C12" s="147"/>
      <c r="D12" s="147"/>
      <c r="E12" s="147"/>
      <c r="F12" s="147"/>
      <c r="G12" s="147"/>
      <c r="H12" s="147"/>
      <c r="I12" s="147"/>
      <c r="J12" s="92"/>
      <c r="K12" s="147"/>
      <c r="L12" s="147"/>
      <c r="M12" s="33"/>
      <c r="N12" s="3"/>
      <c r="O12" s="123"/>
      <c r="P12" s="54"/>
      <c r="Q12" s="70"/>
      <c r="R12" s="84"/>
      <c r="S12" s="70"/>
      <c r="T12" s="80"/>
      <c r="U12" s="84"/>
      <c r="V12" s="150"/>
      <c r="AE12" s="118"/>
      <c r="AF12" s="118"/>
      <c r="AG12" s="118"/>
    </row>
    <row r="13" spans="1:40" ht="12.4" customHeight="1" x14ac:dyDescent="0.2">
      <c r="A13" s="137"/>
      <c r="B13" s="137" t="s">
        <v>58</v>
      </c>
      <c r="C13" s="137" t="s">
        <v>57</v>
      </c>
      <c r="D13" s="137" t="s">
        <v>58</v>
      </c>
      <c r="E13" s="137" t="s">
        <v>57</v>
      </c>
      <c r="F13" s="137" t="s">
        <v>91</v>
      </c>
      <c r="G13" s="25"/>
      <c r="H13" s="25"/>
      <c r="N13" s="3"/>
      <c r="O13" s="123"/>
      <c r="P13" s="54"/>
      <c r="Q13" s="70"/>
      <c r="R13" s="70"/>
      <c r="S13" s="70"/>
      <c r="T13" s="80"/>
      <c r="U13" s="70"/>
      <c r="V13" s="150"/>
      <c r="AE13" s="118"/>
      <c r="AF13" s="118"/>
      <c r="AG13" s="118"/>
    </row>
    <row r="14" spans="1:40" ht="12.4" customHeight="1" x14ac:dyDescent="0.2">
      <c r="A14" s="97" t="s">
        <v>85</v>
      </c>
      <c r="B14" s="97" t="s">
        <v>63</v>
      </c>
      <c r="C14" s="97" t="s">
        <v>63</v>
      </c>
      <c r="D14" s="97" t="s">
        <v>63</v>
      </c>
      <c r="E14" s="97" t="s">
        <v>63</v>
      </c>
      <c r="F14" s="97" t="s">
        <v>50</v>
      </c>
      <c r="G14" s="25"/>
      <c r="H14" s="25"/>
      <c r="I14" s="5"/>
      <c r="J14" s="5"/>
      <c r="K14" s="5"/>
      <c r="L14" s="5"/>
      <c r="M14" s="5"/>
      <c r="N14" s="3"/>
      <c r="O14" s="123"/>
      <c r="P14" s="54"/>
      <c r="Q14" s="70"/>
      <c r="R14" s="70"/>
      <c r="S14" s="70"/>
      <c r="T14" s="80"/>
      <c r="U14" s="70"/>
      <c r="V14" s="150"/>
      <c r="AE14" s="118"/>
      <c r="AF14" s="118"/>
      <c r="AG14" s="118"/>
    </row>
    <row r="15" spans="1:40" ht="12.4" customHeight="1" x14ac:dyDescent="0.2">
      <c r="A15" s="97" t="s">
        <v>78</v>
      </c>
      <c r="B15" s="97" t="s">
        <v>3</v>
      </c>
      <c r="C15" s="97" t="s">
        <v>3</v>
      </c>
      <c r="D15" s="97" t="s">
        <v>5</v>
      </c>
      <c r="E15" s="97" t="s">
        <v>5</v>
      </c>
      <c r="F15" s="97" t="s">
        <v>5</v>
      </c>
      <c r="G15" s="25"/>
      <c r="H15" s="25"/>
      <c r="I15" s="25"/>
      <c r="J15" s="25"/>
      <c r="K15" s="25"/>
      <c r="L15" s="5"/>
      <c r="M15" s="5"/>
      <c r="N15" s="147"/>
      <c r="O15" s="123"/>
      <c r="P15" s="54"/>
      <c r="Q15" s="70"/>
      <c r="R15" s="70"/>
      <c r="S15" s="70"/>
      <c r="T15" s="80"/>
      <c r="U15" s="70"/>
      <c r="V15" s="150"/>
      <c r="AE15" s="118"/>
      <c r="AF15" s="118"/>
      <c r="AG15" s="118"/>
    </row>
    <row r="16" spans="1:40" ht="12.4" customHeight="1" x14ac:dyDescent="0.2">
      <c r="A16" s="133" t="s">
        <v>49</v>
      </c>
      <c r="B16" s="133" t="s">
        <v>36</v>
      </c>
      <c r="C16" s="133" t="s">
        <v>36</v>
      </c>
      <c r="D16" s="133" t="s">
        <v>25</v>
      </c>
      <c r="E16" s="133" t="s">
        <v>25</v>
      </c>
      <c r="F16" s="133" t="s">
        <v>25</v>
      </c>
      <c r="G16" s="25"/>
      <c r="H16" s="25"/>
      <c r="I16" s="25"/>
      <c r="J16" s="25"/>
      <c r="K16" s="25"/>
      <c r="L16" s="25"/>
      <c r="M16" s="25"/>
      <c r="N16" s="147"/>
      <c r="O16" s="54"/>
      <c r="P16" s="54"/>
      <c r="Q16" s="84"/>
      <c r="R16" s="150"/>
      <c r="S16" s="150"/>
      <c r="T16" s="150"/>
      <c r="U16" s="150"/>
      <c r="V16" s="150"/>
      <c r="AE16" s="118"/>
      <c r="AF16" s="118"/>
      <c r="AG16" s="118"/>
    </row>
    <row r="17" spans="1:35" ht="12.4" customHeight="1" x14ac:dyDescent="0.2">
      <c r="A17" s="3"/>
      <c r="B17" s="3"/>
      <c r="E17" s="3"/>
      <c r="F17" s="3"/>
      <c r="G17" s="3"/>
      <c r="H17" s="3"/>
      <c r="I17" s="3"/>
      <c r="J17" s="3"/>
      <c r="K17" s="3"/>
      <c r="L17" s="3"/>
      <c r="M17" s="3"/>
      <c r="N17" s="147"/>
      <c r="O17" s="54"/>
      <c r="P17" s="54"/>
      <c r="Q17" s="26"/>
      <c r="R17" s="84"/>
      <c r="S17" s="84"/>
      <c r="T17" s="90"/>
      <c r="U17" s="150"/>
      <c r="V17" s="150"/>
      <c r="AE17" s="118"/>
      <c r="AF17" s="118"/>
      <c r="AG17" s="118"/>
    </row>
    <row r="18" spans="1:35" ht="12.4" customHeight="1" x14ac:dyDescent="0.2">
      <c r="A18" s="59">
        <v>1.5251665115356445</v>
      </c>
      <c r="B18" s="158">
        <v>0</v>
      </c>
      <c r="C18" s="64">
        <f t="shared" ref="C18:C136" si="0">IF(B18-I$34&lt;0,0,B18-I$34)</f>
        <v>0</v>
      </c>
      <c r="D18" s="64">
        <f t="shared" ref="D18:D136" si="1">B18/$B$136</f>
        <v>0</v>
      </c>
      <c r="E18" s="64">
        <f t="shared" ref="E18:E136" si="2">C18/$H$30</f>
        <v>0</v>
      </c>
      <c r="F18" s="64">
        <f t="shared" ref="F18:F136" si="3">E18-E17</f>
        <v>0</v>
      </c>
      <c r="G18" s="64"/>
      <c r="H18" s="130" t="s">
        <v>19</v>
      </c>
      <c r="I18" s="53"/>
      <c r="J18" s="53"/>
      <c r="K18" s="53"/>
      <c r="L18" s="53"/>
      <c r="M18" s="44"/>
      <c r="O18" s="59"/>
      <c r="P18" s="54"/>
      <c r="Q18" s="116"/>
      <c r="R18" s="43"/>
      <c r="S18" s="146"/>
      <c r="T18" s="128"/>
      <c r="U18" s="128"/>
      <c r="V18" s="128"/>
      <c r="W18" s="134"/>
      <c r="X18" s="116"/>
      <c r="AG18" s="118"/>
      <c r="AH18" s="118"/>
      <c r="AI18" s="118"/>
    </row>
    <row r="19" spans="1:35" ht="12.4" customHeight="1" x14ac:dyDescent="0.2">
      <c r="A19" s="59">
        <v>1.6010434627532959</v>
      </c>
      <c r="B19" s="158">
        <v>1.0730937437916064E-3</v>
      </c>
      <c r="C19" s="64">
        <f t="shared" si="0"/>
        <v>0</v>
      </c>
      <c r="D19" s="64">
        <f t="shared" si="1"/>
        <v>6.3490709074693046E-4</v>
      </c>
      <c r="E19" s="64">
        <f t="shared" si="2"/>
        <v>0</v>
      </c>
      <c r="F19" s="64">
        <f t="shared" si="3"/>
        <v>0</v>
      </c>
      <c r="G19" s="64"/>
      <c r="H19" s="137" t="s">
        <v>89</v>
      </c>
      <c r="I19" s="137" t="s">
        <v>2</v>
      </c>
      <c r="J19" s="137" t="s">
        <v>84</v>
      </c>
      <c r="K19" s="137"/>
      <c r="L19" s="137" t="s">
        <v>84</v>
      </c>
      <c r="M19" s="137" t="s">
        <v>15</v>
      </c>
      <c r="O19" s="59"/>
      <c r="P19" s="54"/>
      <c r="Q19" s="116"/>
      <c r="R19" s="43"/>
      <c r="S19" s="25"/>
      <c r="T19" s="25"/>
      <c r="U19" s="25"/>
      <c r="V19" s="25"/>
      <c r="W19" s="134"/>
      <c r="X19" s="116"/>
      <c r="AG19" s="118"/>
      <c r="AH19" s="118"/>
      <c r="AI19" s="118"/>
    </row>
    <row r="20" spans="1:35" ht="12.4" customHeight="1" x14ac:dyDescent="0.2">
      <c r="A20" s="59">
        <v>1.822029709815979</v>
      </c>
      <c r="B20" s="158">
        <v>1.9568180522260515E-3</v>
      </c>
      <c r="C20" s="64">
        <f t="shared" si="0"/>
        <v>0</v>
      </c>
      <c r="D20" s="64">
        <f t="shared" si="1"/>
        <v>1.1577717826124889E-3</v>
      </c>
      <c r="E20" s="64">
        <f t="shared" si="2"/>
        <v>0</v>
      </c>
      <c r="F20" s="64">
        <f t="shared" si="3"/>
        <v>0</v>
      </c>
      <c r="G20" s="64"/>
      <c r="H20" s="97" t="s">
        <v>3</v>
      </c>
      <c r="I20" s="97" t="s">
        <v>3</v>
      </c>
      <c r="J20" s="97" t="s">
        <v>3</v>
      </c>
      <c r="K20" s="97" t="s">
        <v>62</v>
      </c>
      <c r="L20" s="97" t="s">
        <v>40</v>
      </c>
      <c r="M20" s="97" t="s">
        <v>9</v>
      </c>
      <c r="O20" s="59"/>
      <c r="P20" s="54"/>
      <c r="Q20" s="116"/>
      <c r="R20" s="43"/>
      <c r="S20" s="25"/>
      <c r="T20" s="25"/>
      <c r="U20" s="25"/>
      <c r="V20" s="25"/>
      <c r="W20" s="134"/>
      <c r="X20" s="116"/>
      <c r="AG20" s="118"/>
      <c r="AH20" s="118"/>
      <c r="AI20" s="118"/>
    </row>
    <row r="21" spans="1:35" ht="12.4" customHeight="1" x14ac:dyDescent="0.2">
      <c r="A21" s="59">
        <v>2.0197198390960693</v>
      </c>
      <c r="B21" s="158">
        <v>7.9535184991423123E-3</v>
      </c>
      <c r="C21" s="64">
        <f t="shared" si="0"/>
        <v>0</v>
      </c>
      <c r="D21" s="64">
        <f t="shared" si="1"/>
        <v>4.7057820630375356E-3</v>
      </c>
      <c r="E21" s="64">
        <f t="shared" si="2"/>
        <v>0</v>
      </c>
      <c r="F21" s="64">
        <f t="shared" si="3"/>
        <v>0</v>
      </c>
      <c r="G21" s="64"/>
      <c r="H21" s="133" t="s">
        <v>36</v>
      </c>
      <c r="I21" s="133" t="s">
        <v>36</v>
      </c>
      <c r="J21" s="133" t="s">
        <v>36</v>
      </c>
      <c r="K21" s="133" t="s">
        <v>25</v>
      </c>
      <c r="L21" s="133" t="s">
        <v>26</v>
      </c>
      <c r="M21" s="133" t="s">
        <v>18</v>
      </c>
      <c r="O21" s="59"/>
      <c r="P21" s="54"/>
      <c r="Q21" s="116"/>
      <c r="R21" s="43"/>
      <c r="S21" s="25"/>
      <c r="T21" s="25"/>
      <c r="U21" s="25"/>
      <c r="V21" s="25"/>
      <c r="W21" s="134"/>
      <c r="X21" s="116"/>
      <c r="AG21" s="55"/>
      <c r="AH21" s="118"/>
      <c r="AI21" s="118"/>
    </row>
    <row r="22" spans="1:35" ht="12.4" customHeight="1" x14ac:dyDescent="0.2">
      <c r="A22" s="59">
        <v>2.1800045967102051</v>
      </c>
      <c r="B22" s="158">
        <v>2.5817376132818093E-2</v>
      </c>
      <c r="C22" s="64">
        <f t="shared" si="0"/>
        <v>0</v>
      </c>
      <c r="D22" s="64">
        <f t="shared" si="1"/>
        <v>1.5275119500081636E-2</v>
      </c>
      <c r="E22" s="64">
        <f t="shared" si="2"/>
        <v>0</v>
      </c>
      <c r="F22" s="64">
        <f t="shared" si="3"/>
        <v>0</v>
      </c>
      <c r="G22" s="64"/>
      <c r="H22" s="74"/>
      <c r="I22" s="59"/>
      <c r="J22" s="59"/>
      <c r="K22" s="59"/>
      <c r="L22" s="59"/>
      <c r="M22" s="59"/>
      <c r="O22" s="59"/>
      <c r="P22" s="54"/>
      <c r="Q22" s="116"/>
      <c r="R22" s="43"/>
      <c r="S22" s="1"/>
      <c r="T22" s="134"/>
      <c r="U22" s="134"/>
      <c r="V22" s="134"/>
      <c r="W22" s="134"/>
      <c r="X22" s="116"/>
      <c r="AG22" s="55"/>
      <c r="AH22" s="118"/>
      <c r="AI22" s="118"/>
    </row>
    <row r="23" spans="1:35" ht="12.4" customHeight="1" x14ac:dyDescent="0.2">
      <c r="A23" s="59">
        <v>2.3738393783569336</v>
      </c>
      <c r="B23" s="158">
        <v>3.004662925444802E-2</v>
      </c>
      <c r="C23" s="64">
        <f t="shared" si="0"/>
        <v>0</v>
      </c>
      <c r="D23" s="64">
        <f t="shared" si="1"/>
        <v>1.7777401160953839E-2</v>
      </c>
      <c r="E23" s="64">
        <f t="shared" si="2"/>
        <v>0</v>
      </c>
      <c r="F23" s="64">
        <f t="shared" si="3"/>
        <v>0</v>
      </c>
      <c r="G23" s="64"/>
      <c r="H23" s="94">
        <f>I23-J23</f>
        <v>1.75</v>
      </c>
      <c r="I23" s="94">
        <v>11.1</v>
      </c>
      <c r="J23" s="94">
        <v>9.35</v>
      </c>
      <c r="K23" s="6">
        <f>H23/I23</f>
        <v>0.15765765765765766</v>
      </c>
      <c r="L23" s="94">
        <f>M23/J23</f>
        <v>2.6801069518716578</v>
      </c>
      <c r="M23" s="94">
        <v>25.059000000000001</v>
      </c>
      <c r="O23" s="109"/>
      <c r="P23" s="54"/>
      <c r="Q23" s="116"/>
      <c r="R23" s="43"/>
      <c r="S23" s="79"/>
      <c r="T23" s="79"/>
      <c r="U23" s="79"/>
      <c r="V23" s="79"/>
      <c r="W23" s="134"/>
      <c r="X23" s="116"/>
      <c r="AG23" s="55"/>
      <c r="AH23" s="118"/>
      <c r="AI23" s="118"/>
    </row>
    <row r="24" spans="1:35" ht="12.4" customHeight="1" x14ac:dyDescent="0.2">
      <c r="A24" s="59">
        <v>2.593677282333374</v>
      </c>
      <c r="B24" s="158">
        <v>3.3076541880768751E-2</v>
      </c>
      <c r="C24" s="64">
        <f t="shared" si="0"/>
        <v>0</v>
      </c>
      <c r="D24" s="64">
        <f t="shared" si="1"/>
        <v>1.9570080525570719E-2</v>
      </c>
      <c r="E24" s="64">
        <f t="shared" si="2"/>
        <v>0</v>
      </c>
      <c r="F24" s="64">
        <f t="shared" si="3"/>
        <v>0</v>
      </c>
      <c r="G24" s="64"/>
      <c r="O24" s="59"/>
      <c r="P24" s="54"/>
      <c r="Q24" s="116"/>
      <c r="R24" s="43"/>
      <c r="S24" s="150"/>
      <c r="T24" s="150"/>
      <c r="U24" s="150"/>
      <c r="V24" s="150"/>
      <c r="W24" s="134"/>
      <c r="X24" s="116"/>
      <c r="AG24" s="55"/>
      <c r="AH24" s="118"/>
      <c r="AI24" s="118"/>
    </row>
    <row r="25" spans="1:35" ht="12.4" customHeight="1" x14ac:dyDescent="0.2">
      <c r="A25" s="59">
        <v>2.8300850391387939</v>
      </c>
      <c r="B25" s="158">
        <v>3.5538344909435436E-2</v>
      </c>
      <c r="C25" s="64">
        <f t="shared" si="0"/>
        <v>0</v>
      </c>
      <c r="D25" s="64">
        <f t="shared" si="1"/>
        <v>2.1026631929365207E-2</v>
      </c>
      <c r="E25" s="64">
        <f t="shared" si="2"/>
        <v>0</v>
      </c>
      <c r="F25" s="64">
        <f t="shared" si="3"/>
        <v>0</v>
      </c>
      <c r="G25" s="64"/>
      <c r="H25" s="130" t="s">
        <v>77</v>
      </c>
      <c r="I25" s="53"/>
      <c r="J25" s="53"/>
      <c r="K25" s="53"/>
      <c r="L25" s="53"/>
      <c r="M25" s="44"/>
      <c r="O25" s="59"/>
      <c r="P25" s="54"/>
      <c r="Q25" s="116"/>
      <c r="R25" s="43"/>
      <c r="S25" s="146"/>
      <c r="T25" s="128"/>
      <c r="U25" s="128"/>
      <c r="V25" s="128"/>
      <c r="W25" s="134"/>
      <c r="X25" s="116"/>
      <c r="AG25" s="76"/>
      <c r="AH25" s="118"/>
      <c r="AI25" s="118"/>
    </row>
    <row r="26" spans="1:35" ht="12.4" customHeight="1" x14ac:dyDescent="0.2">
      <c r="A26" s="59">
        <v>3.0941364765167236</v>
      </c>
      <c r="B26" s="158">
        <v>3.7179545944483666E-2</v>
      </c>
      <c r="C26" s="64">
        <f t="shared" si="0"/>
        <v>0</v>
      </c>
      <c r="D26" s="64">
        <f t="shared" si="1"/>
        <v>2.1997665616330472E-2</v>
      </c>
      <c r="E26" s="64">
        <f t="shared" si="2"/>
        <v>0</v>
      </c>
      <c r="F26" s="64">
        <f t="shared" si="3"/>
        <v>0</v>
      </c>
      <c r="G26" s="64"/>
      <c r="H26" s="137" t="s">
        <v>89</v>
      </c>
      <c r="I26" s="137" t="s">
        <v>2</v>
      </c>
      <c r="J26" s="137" t="s">
        <v>84</v>
      </c>
      <c r="K26" s="137"/>
      <c r="L26" s="137" t="s">
        <v>84</v>
      </c>
      <c r="M26" s="137" t="s">
        <v>15</v>
      </c>
      <c r="O26" s="59"/>
      <c r="P26" s="54"/>
      <c r="Q26" s="116"/>
      <c r="R26" s="43"/>
      <c r="S26" s="25"/>
      <c r="T26" s="25"/>
      <c r="U26" s="25"/>
      <c r="V26" s="25"/>
      <c r="W26" s="134"/>
      <c r="X26" s="116"/>
      <c r="AG26" s="76"/>
      <c r="AH26" s="118"/>
      <c r="AI26" s="118"/>
    </row>
    <row r="27" spans="1:35" ht="12.4" customHeight="1" x14ac:dyDescent="0.2">
      <c r="A27" s="59">
        <v>3.3660628795623779</v>
      </c>
      <c r="B27" s="158">
        <v>3.8315760803764601E-2</v>
      </c>
      <c r="C27" s="64">
        <f t="shared" si="0"/>
        <v>0</v>
      </c>
      <c r="D27" s="64">
        <f t="shared" si="1"/>
        <v>2.2669918972519628E-2</v>
      </c>
      <c r="E27" s="64">
        <f t="shared" si="2"/>
        <v>0</v>
      </c>
      <c r="F27" s="64">
        <f t="shared" si="3"/>
        <v>0</v>
      </c>
      <c r="G27" s="64"/>
      <c r="H27" s="97" t="s">
        <v>3</v>
      </c>
      <c r="I27" s="97" t="s">
        <v>3</v>
      </c>
      <c r="J27" s="97" t="s">
        <v>3</v>
      </c>
      <c r="K27" s="97" t="s">
        <v>62</v>
      </c>
      <c r="L27" s="97" t="s">
        <v>40</v>
      </c>
      <c r="M27" s="97" t="s">
        <v>9</v>
      </c>
      <c r="O27" s="59"/>
      <c r="P27" s="54"/>
      <c r="Q27" s="116"/>
      <c r="R27" s="43"/>
      <c r="S27" s="25"/>
      <c r="T27" s="25"/>
      <c r="U27" s="25"/>
      <c r="V27" s="25"/>
      <c r="W27" s="134"/>
      <c r="X27" s="116"/>
      <c r="AG27" s="76"/>
      <c r="AH27" s="118"/>
      <c r="AI27" s="118"/>
    </row>
    <row r="28" spans="1:35" ht="12.4" customHeight="1" x14ac:dyDescent="0.2">
      <c r="A28" s="59">
        <v>3.7039406299591064</v>
      </c>
      <c r="B28" s="158">
        <v>3.8946993731049491E-2</v>
      </c>
      <c r="C28" s="64">
        <f t="shared" si="0"/>
        <v>0</v>
      </c>
      <c r="D28" s="64">
        <f t="shared" si="1"/>
        <v>2.3043394508804133E-2</v>
      </c>
      <c r="E28" s="64">
        <f t="shared" si="2"/>
        <v>0</v>
      </c>
      <c r="F28" s="64">
        <f t="shared" si="3"/>
        <v>0</v>
      </c>
      <c r="G28" s="64"/>
      <c r="H28" s="133" t="s">
        <v>36</v>
      </c>
      <c r="I28" s="133" t="s">
        <v>36</v>
      </c>
      <c r="J28" s="133" t="s">
        <v>36</v>
      </c>
      <c r="K28" s="133" t="s">
        <v>25</v>
      </c>
      <c r="L28" s="133" t="s">
        <v>26</v>
      </c>
      <c r="M28" s="133" t="s">
        <v>18</v>
      </c>
      <c r="O28" s="59"/>
      <c r="P28" s="54"/>
      <c r="Q28" s="116"/>
      <c r="R28" s="43"/>
      <c r="S28" s="25"/>
      <c r="T28" s="25"/>
      <c r="U28" s="25"/>
      <c r="V28" s="25"/>
      <c r="W28" s="134"/>
      <c r="X28" s="116"/>
      <c r="AG28" s="76"/>
      <c r="AH28" s="118"/>
      <c r="AI28" s="118"/>
    </row>
    <row r="29" spans="1:35" ht="12.4" customHeight="1" x14ac:dyDescent="0.2">
      <c r="A29" s="59">
        <v>4.0441150665283203</v>
      </c>
      <c r="B29" s="158">
        <v>3.9767591480896702E-2</v>
      </c>
      <c r="C29" s="64">
        <f t="shared" si="0"/>
        <v>0</v>
      </c>
      <c r="D29" s="64">
        <f t="shared" si="1"/>
        <v>2.3528909714761896E-2</v>
      </c>
      <c r="E29" s="64">
        <f t="shared" si="2"/>
        <v>0</v>
      </c>
      <c r="F29" s="64">
        <f t="shared" si="3"/>
        <v>0</v>
      </c>
      <c r="G29" s="64"/>
      <c r="H29" s="74"/>
      <c r="I29" s="59"/>
      <c r="J29" s="59"/>
      <c r="K29" s="59"/>
      <c r="L29" s="59"/>
      <c r="M29" s="59"/>
      <c r="O29" s="59"/>
      <c r="P29" s="54"/>
      <c r="Q29" s="116"/>
      <c r="R29" s="43"/>
      <c r="S29" s="1"/>
      <c r="T29" s="134"/>
      <c r="U29" s="134"/>
      <c r="V29" s="134"/>
      <c r="W29" s="134"/>
      <c r="X29" s="116"/>
      <c r="AG29" s="4"/>
      <c r="AH29" s="118"/>
      <c r="AI29" s="118"/>
    </row>
    <row r="30" spans="1:35" ht="12.4" customHeight="1" x14ac:dyDescent="0.2">
      <c r="A30" s="59">
        <v>4.420710563659668</v>
      </c>
      <c r="B30" s="158">
        <v>4.0398822839831337E-2</v>
      </c>
      <c r="C30" s="64">
        <f t="shared" si="0"/>
        <v>0</v>
      </c>
      <c r="D30" s="64">
        <f t="shared" si="1"/>
        <v>2.3902384323115637E-2</v>
      </c>
      <c r="E30" s="64">
        <f t="shared" si="2"/>
        <v>0</v>
      </c>
      <c r="F30" s="64">
        <f t="shared" si="3"/>
        <v>0</v>
      </c>
      <c r="G30" s="64"/>
      <c r="H30" s="94">
        <f>C136</f>
        <v>1.6405000000000001</v>
      </c>
      <c r="I30" s="94">
        <v>10.993964003938732</v>
      </c>
      <c r="J30" s="94">
        <f>I30-H30</f>
        <v>9.3534640039387327</v>
      </c>
      <c r="K30" s="6">
        <f>H30/I30</f>
        <v>0.14921824370284179</v>
      </c>
      <c r="L30" s="94">
        <f>M30/J30</f>
        <v>2.6791143890057936</v>
      </c>
      <c r="M30" s="94">
        <f>M23</f>
        <v>25.059000000000001</v>
      </c>
      <c r="N30" s="143"/>
      <c r="O30" s="64"/>
      <c r="P30" s="54"/>
      <c r="Q30" s="150"/>
      <c r="R30" s="43"/>
      <c r="S30" s="79"/>
      <c r="T30" s="79"/>
      <c r="U30" s="79"/>
      <c r="V30" s="79"/>
      <c r="W30" s="66"/>
      <c r="X30" s="144"/>
    </row>
    <row r="31" spans="1:35" ht="12.4" customHeight="1" x14ac:dyDescent="0.2">
      <c r="A31" s="59">
        <v>4.835777759552002</v>
      </c>
      <c r="B31" s="158">
        <v>4.0966932668125122E-2</v>
      </c>
      <c r="C31" s="64">
        <f t="shared" si="0"/>
        <v>0</v>
      </c>
      <c r="D31" s="64">
        <f t="shared" si="1"/>
        <v>2.4238512420398435E-2</v>
      </c>
      <c r="E31" s="64">
        <f t="shared" si="2"/>
        <v>0</v>
      </c>
      <c r="F31" s="64">
        <f t="shared" si="3"/>
        <v>0</v>
      </c>
      <c r="G31" s="64"/>
      <c r="H31" s="74"/>
      <c r="I31" s="59"/>
      <c r="J31" s="59"/>
      <c r="K31" s="59"/>
      <c r="L31" s="59"/>
      <c r="M31" s="85"/>
      <c r="O31" s="106"/>
      <c r="P31" s="54"/>
      <c r="Q31" s="79"/>
      <c r="R31" s="150"/>
      <c r="S31" s="150"/>
      <c r="T31" s="150"/>
      <c r="U31" s="150"/>
      <c r="V31" s="150"/>
    </row>
    <row r="32" spans="1:35" ht="12.4" customHeight="1" x14ac:dyDescent="0.2">
      <c r="A32" s="59">
        <v>5.2756175994873047</v>
      </c>
      <c r="B32" s="158">
        <v>4.159816499574668E-2</v>
      </c>
      <c r="C32" s="64">
        <f t="shared" si="0"/>
        <v>0</v>
      </c>
      <c r="D32" s="64">
        <f t="shared" si="1"/>
        <v>2.4611987601885883E-2</v>
      </c>
      <c r="E32" s="64">
        <f t="shared" si="2"/>
        <v>0</v>
      </c>
      <c r="F32" s="64">
        <f t="shared" si="3"/>
        <v>0</v>
      </c>
      <c r="G32" s="64"/>
      <c r="I32" s="161" t="s">
        <v>37</v>
      </c>
      <c r="J32" s="162"/>
      <c r="K32" s="161" t="s">
        <v>65</v>
      </c>
      <c r="L32" s="162"/>
      <c r="M32" s="1"/>
      <c r="N32" s="85"/>
      <c r="O32" s="106"/>
      <c r="P32" s="54"/>
      <c r="Q32" s="79"/>
      <c r="R32" s="150"/>
      <c r="S32" s="150"/>
      <c r="T32" s="150"/>
      <c r="U32" s="150"/>
      <c r="V32" s="150"/>
    </row>
    <row r="33" spans="1:22" ht="12.4" customHeight="1" x14ac:dyDescent="0.2">
      <c r="A33" s="59">
        <v>5.7682843208312988</v>
      </c>
      <c r="B33" s="158">
        <v>4.2040025443229809E-2</v>
      </c>
      <c r="C33" s="64">
        <f t="shared" si="0"/>
        <v>0</v>
      </c>
      <c r="D33" s="64">
        <f t="shared" si="1"/>
        <v>2.4873418938011659E-2</v>
      </c>
      <c r="E33" s="64">
        <f t="shared" si="2"/>
        <v>0</v>
      </c>
      <c r="F33" s="64">
        <f t="shared" si="3"/>
        <v>0</v>
      </c>
      <c r="G33" s="64"/>
      <c r="I33" s="163" t="s">
        <v>36</v>
      </c>
      <c r="J33" s="164"/>
      <c r="K33" s="163" t="s">
        <v>49</v>
      </c>
      <c r="L33" s="164"/>
      <c r="M33" s="150"/>
      <c r="N33" s="85"/>
      <c r="O33" s="106"/>
      <c r="P33" s="54"/>
      <c r="Q33" s="79"/>
      <c r="R33" s="150"/>
      <c r="S33" s="150"/>
      <c r="T33" s="150"/>
      <c r="U33" s="150"/>
      <c r="V33" s="150"/>
    </row>
    <row r="34" spans="1:22" ht="12.4" customHeight="1" x14ac:dyDescent="0.2">
      <c r="A34" s="59">
        <v>6.3048362731933594</v>
      </c>
      <c r="B34" s="158">
        <v>4.267125869341034E-2</v>
      </c>
      <c r="C34" s="64">
        <f t="shared" si="0"/>
        <v>0</v>
      </c>
      <c r="D34" s="64">
        <f t="shared" si="1"/>
        <v>2.5246894665340733E-2</v>
      </c>
      <c r="E34" s="64">
        <f t="shared" si="2"/>
        <v>0</v>
      </c>
      <c r="F34" s="64">
        <f t="shared" si="3"/>
        <v>0</v>
      </c>
      <c r="G34" s="64"/>
      <c r="I34" s="165">
        <v>4.9658701061560541E-2</v>
      </c>
      <c r="J34" s="166"/>
      <c r="K34" s="165">
        <f>LOOKUP(I34,B$18:B$136,A$18:A$136)</f>
        <v>44.258155822753906</v>
      </c>
      <c r="L34" s="166"/>
      <c r="M34" s="18"/>
      <c r="N34" s="85"/>
      <c r="O34" s="106"/>
      <c r="P34" s="54"/>
      <c r="Q34" s="79"/>
      <c r="R34" s="150"/>
      <c r="S34" s="150"/>
      <c r="T34" s="150"/>
      <c r="U34" s="150"/>
      <c r="V34" s="150"/>
    </row>
    <row r="35" spans="1:22" ht="12.4" customHeight="1" x14ac:dyDescent="0.2">
      <c r="A35" s="59">
        <v>6.9050431251525879</v>
      </c>
      <c r="B35" s="158">
        <v>4.2923751066310786E-2</v>
      </c>
      <c r="C35" s="64">
        <f t="shared" si="0"/>
        <v>0</v>
      </c>
      <c r="D35" s="64">
        <f t="shared" si="1"/>
        <v>2.539628440770153E-2</v>
      </c>
      <c r="E35" s="64">
        <f t="shared" si="2"/>
        <v>0</v>
      </c>
      <c r="F35" s="64">
        <f t="shared" si="3"/>
        <v>0</v>
      </c>
      <c r="G35" s="64"/>
      <c r="H35" s="74"/>
      <c r="I35" s="59"/>
      <c r="J35" s="59"/>
      <c r="K35" s="134"/>
      <c r="L35" s="134"/>
      <c r="M35" s="134"/>
      <c r="N35" s="85"/>
      <c r="O35" s="106"/>
      <c r="P35" s="54"/>
      <c r="Q35" s="79"/>
      <c r="R35" s="150"/>
      <c r="S35" s="150"/>
      <c r="T35" s="150"/>
      <c r="U35" s="150"/>
      <c r="V35" s="150"/>
    </row>
    <row r="36" spans="1:22" ht="12.4" customHeight="1" x14ac:dyDescent="0.2">
      <c r="A36" s="59">
        <v>7.5520882606506348</v>
      </c>
      <c r="B36" s="158">
        <v>4.3302491274735608E-2</v>
      </c>
      <c r="C36" s="64">
        <f t="shared" si="0"/>
        <v>0</v>
      </c>
      <c r="D36" s="64">
        <f t="shared" si="1"/>
        <v>2.5620369996934626E-2</v>
      </c>
      <c r="E36" s="64">
        <f t="shared" si="2"/>
        <v>0</v>
      </c>
      <c r="F36" s="64">
        <f t="shared" si="3"/>
        <v>0</v>
      </c>
      <c r="G36" s="64"/>
      <c r="H36" s="74"/>
      <c r="I36" s="59"/>
      <c r="J36" s="59"/>
      <c r="K36" s="59"/>
      <c r="L36" s="59"/>
      <c r="M36" s="59"/>
      <c r="N36" s="85"/>
      <c r="O36" s="106"/>
      <c r="P36" s="54"/>
      <c r="Q36" s="79"/>
      <c r="R36" s="150"/>
      <c r="S36" s="150"/>
      <c r="T36" s="150"/>
      <c r="U36" s="150"/>
      <c r="V36" s="150"/>
    </row>
    <row r="37" spans="1:22" ht="12.4" customHeight="1" x14ac:dyDescent="0.2">
      <c r="A37" s="59">
        <v>8.2457265853881836</v>
      </c>
      <c r="B37" s="158">
        <v>4.3744355227942816E-2</v>
      </c>
      <c r="C37" s="64">
        <f t="shared" si="0"/>
        <v>0</v>
      </c>
      <c r="D37" s="64">
        <f t="shared" si="1"/>
        <v>2.5881803407258569E-2</v>
      </c>
      <c r="E37" s="64">
        <f t="shared" si="2"/>
        <v>0</v>
      </c>
      <c r="F37" s="64">
        <f t="shared" si="3"/>
        <v>0</v>
      </c>
      <c r="G37" s="64"/>
      <c r="H37" s="74"/>
      <c r="I37" s="59"/>
      <c r="J37" s="59"/>
      <c r="K37" s="59"/>
      <c r="L37" s="59"/>
      <c r="M37" s="59"/>
      <c r="N37" s="85"/>
      <c r="O37" s="106"/>
      <c r="P37" s="54"/>
      <c r="Q37" s="79"/>
      <c r="R37" s="150"/>
      <c r="S37" s="150"/>
      <c r="T37" s="150"/>
      <c r="U37" s="150"/>
      <c r="V37" s="150"/>
    </row>
    <row r="38" spans="1:22" ht="12.4" customHeight="1" x14ac:dyDescent="0.2">
      <c r="A38" s="59">
        <v>9.0223779678344727</v>
      </c>
      <c r="B38" s="158">
        <v>4.4123092161283309E-2</v>
      </c>
      <c r="C38" s="64">
        <f t="shared" si="0"/>
        <v>0</v>
      </c>
      <c r="D38" s="64">
        <f t="shared" si="1"/>
        <v>2.6105887058753906E-2</v>
      </c>
      <c r="E38" s="64">
        <f t="shared" si="2"/>
        <v>0</v>
      </c>
      <c r="F38" s="64">
        <f t="shared" si="3"/>
        <v>0</v>
      </c>
      <c r="G38" s="64"/>
      <c r="N38" s="85"/>
      <c r="O38" s="106"/>
      <c r="P38" s="54"/>
      <c r="Q38" s="79"/>
      <c r="R38" s="150"/>
      <c r="S38" s="150"/>
      <c r="T38" s="150"/>
      <c r="U38" s="150"/>
      <c r="V38" s="150"/>
    </row>
    <row r="39" spans="1:22" ht="12.4" customHeight="1" x14ac:dyDescent="0.2">
      <c r="A39" s="59">
        <v>9.8756437301635742</v>
      </c>
      <c r="B39" s="158">
        <v>4.4564955791594876E-2</v>
      </c>
      <c r="C39" s="64">
        <f t="shared" si="0"/>
        <v>0</v>
      </c>
      <c r="D39" s="64">
        <f t="shared" si="1"/>
        <v>2.636732027803328E-2</v>
      </c>
      <c r="E39" s="64">
        <f t="shared" si="2"/>
        <v>0</v>
      </c>
      <c r="F39" s="64">
        <f t="shared" si="3"/>
        <v>0</v>
      </c>
      <c r="G39" s="64"/>
      <c r="N39" s="85"/>
      <c r="O39" s="106"/>
      <c r="P39" s="54"/>
      <c r="Q39" s="79"/>
      <c r="R39" s="150"/>
      <c r="S39" s="150"/>
      <c r="T39" s="150"/>
      <c r="U39" s="150"/>
      <c r="V39" s="150"/>
    </row>
    <row r="40" spans="1:22" ht="12.4" customHeight="1" x14ac:dyDescent="0.2">
      <c r="A40" s="59">
        <v>10.786002159118652</v>
      </c>
      <c r="B40" s="158">
        <v>4.4880572877964625E-2</v>
      </c>
      <c r="C40" s="64">
        <f t="shared" si="0"/>
        <v>0</v>
      </c>
      <c r="D40" s="64">
        <f t="shared" si="1"/>
        <v>2.655405841461863E-2</v>
      </c>
      <c r="E40" s="64">
        <f t="shared" si="2"/>
        <v>0</v>
      </c>
      <c r="F40" s="64">
        <f t="shared" si="3"/>
        <v>0</v>
      </c>
      <c r="G40" s="64"/>
      <c r="N40" s="85"/>
      <c r="O40" s="106"/>
      <c r="P40" s="54"/>
      <c r="Q40" s="79"/>
      <c r="R40" s="150"/>
      <c r="S40" s="150"/>
      <c r="T40" s="150"/>
      <c r="U40" s="150"/>
      <c r="V40" s="150"/>
    </row>
    <row r="41" spans="1:22" ht="12.4" customHeight="1" x14ac:dyDescent="0.2">
      <c r="A41" s="59">
        <v>11.88691520690918</v>
      </c>
      <c r="B41" s="158">
        <v>4.5196187888576697E-2</v>
      </c>
      <c r="C41" s="64">
        <f t="shared" si="0"/>
        <v>0</v>
      </c>
      <c r="D41" s="64">
        <f t="shared" si="1"/>
        <v>2.6740795323060326E-2</v>
      </c>
      <c r="E41" s="64">
        <f t="shared" si="2"/>
        <v>0</v>
      </c>
      <c r="F41" s="64">
        <f t="shared" si="3"/>
        <v>0</v>
      </c>
      <c r="G41" s="64"/>
      <c r="N41" s="85"/>
      <c r="O41" s="106"/>
      <c r="P41" s="54"/>
      <c r="Q41" s="79"/>
      <c r="R41" s="150"/>
      <c r="S41" s="150"/>
      <c r="T41" s="150"/>
      <c r="U41" s="150"/>
      <c r="V41" s="150"/>
    </row>
    <row r="42" spans="1:22" ht="12.4" customHeight="1" x14ac:dyDescent="0.2">
      <c r="A42" s="59">
        <v>12.87938404083252</v>
      </c>
      <c r="B42" s="158">
        <v>4.5574927036058713E-2</v>
      </c>
      <c r="C42" s="64">
        <f t="shared" si="0"/>
        <v>0</v>
      </c>
      <c r="D42" s="64">
        <f t="shared" si="1"/>
        <v>2.6964880284575558E-2</v>
      </c>
      <c r="E42" s="64">
        <f t="shared" si="2"/>
        <v>0</v>
      </c>
      <c r="F42" s="64">
        <f t="shared" si="3"/>
        <v>0</v>
      </c>
      <c r="G42" s="64"/>
      <c r="H42" s="74"/>
      <c r="I42" s="59"/>
      <c r="J42" s="59"/>
      <c r="K42" s="59"/>
      <c r="L42" s="59"/>
      <c r="M42" s="59"/>
      <c r="N42" s="85"/>
      <c r="O42" s="106"/>
      <c r="P42" s="54"/>
      <c r="Q42" s="79"/>
      <c r="R42" s="150"/>
      <c r="S42" s="150"/>
      <c r="T42" s="150"/>
      <c r="U42" s="150"/>
      <c r="V42" s="150"/>
    </row>
    <row r="43" spans="1:22" ht="12.4" customHeight="1" x14ac:dyDescent="0.2">
      <c r="A43" s="59">
        <v>14.18340015411377</v>
      </c>
      <c r="B43" s="158">
        <v>4.5953662862328444E-2</v>
      </c>
      <c r="C43" s="64">
        <f t="shared" si="0"/>
        <v>0</v>
      </c>
      <c r="D43" s="64">
        <f t="shared" si="1"/>
        <v>2.7188963281060952E-2</v>
      </c>
      <c r="E43" s="64">
        <f t="shared" si="2"/>
        <v>0</v>
      </c>
      <c r="F43" s="64">
        <f t="shared" si="3"/>
        <v>0</v>
      </c>
      <c r="G43" s="64"/>
      <c r="H43" s="74"/>
      <c r="I43" s="59"/>
      <c r="J43" s="59"/>
      <c r="K43" s="59"/>
      <c r="L43" s="59"/>
      <c r="M43" s="17"/>
      <c r="N43" s="85"/>
      <c r="O43" s="106"/>
      <c r="P43" s="54"/>
      <c r="Q43" s="79"/>
      <c r="R43" s="150"/>
      <c r="S43" s="150"/>
      <c r="T43" s="150"/>
      <c r="U43" s="150"/>
      <c r="V43" s="150"/>
    </row>
    <row r="44" spans="1:22" ht="12.4" customHeight="1" x14ac:dyDescent="0.2">
      <c r="A44" s="59">
        <v>15.473307609558105</v>
      </c>
      <c r="B44" s="158">
        <v>4.6332402102066357E-2</v>
      </c>
      <c r="C44" s="64">
        <f t="shared" si="0"/>
        <v>0</v>
      </c>
      <c r="D44" s="64">
        <f t="shared" si="1"/>
        <v>2.7413048297160347E-2</v>
      </c>
      <c r="E44" s="64">
        <f t="shared" si="2"/>
        <v>0</v>
      </c>
      <c r="F44" s="64">
        <f t="shared" si="3"/>
        <v>0</v>
      </c>
      <c r="G44" s="64"/>
      <c r="H44" s="74"/>
      <c r="I44" s="59"/>
      <c r="J44" s="59"/>
      <c r="K44" s="59"/>
      <c r="L44" s="59"/>
      <c r="M44" s="17"/>
      <c r="N44" s="85"/>
      <c r="O44" s="106"/>
      <c r="P44" s="54"/>
      <c r="Q44" s="79"/>
      <c r="R44" s="150"/>
      <c r="S44" s="150"/>
      <c r="T44" s="150"/>
      <c r="U44" s="150"/>
      <c r="V44" s="150"/>
    </row>
    <row r="45" spans="1:22" ht="12.4" customHeight="1" x14ac:dyDescent="0.2">
      <c r="A45" s="59">
        <v>16.871246337890625</v>
      </c>
      <c r="B45" s="158">
        <v>4.6521771941043066E-2</v>
      </c>
      <c r="C45" s="64">
        <f t="shared" si="0"/>
        <v>0</v>
      </c>
      <c r="D45" s="64">
        <f t="shared" si="1"/>
        <v>2.7525090934847427E-2</v>
      </c>
      <c r="E45" s="64">
        <f t="shared" si="2"/>
        <v>0</v>
      </c>
      <c r="F45" s="64">
        <f t="shared" si="3"/>
        <v>0</v>
      </c>
      <c r="G45" s="64"/>
      <c r="H45" s="74"/>
      <c r="I45" s="59"/>
      <c r="J45" s="59"/>
      <c r="K45" s="59"/>
      <c r="L45" s="59"/>
      <c r="M45" s="17"/>
      <c r="N45" s="85"/>
      <c r="O45" s="106"/>
      <c r="P45" s="54"/>
      <c r="Q45" s="79"/>
      <c r="R45" s="150"/>
      <c r="S45" s="150"/>
      <c r="T45" s="150"/>
      <c r="U45" s="150"/>
      <c r="V45" s="150"/>
    </row>
    <row r="46" spans="1:22" ht="12.4" customHeight="1" x14ac:dyDescent="0.2">
      <c r="A46" s="59">
        <v>18.465974807739258</v>
      </c>
      <c r="B46" s="158">
        <v>4.6963633680108752E-2</v>
      </c>
      <c r="C46" s="64">
        <f t="shared" si="0"/>
        <v>0</v>
      </c>
      <c r="D46" s="64">
        <f t="shared" si="1"/>
        <v>2.7786523035151476E-2</v>
      </c>
      <c r="E46" s="64">
        <f t="shared" si="2"/>
        <v>0</v>
      </c>
      <c r="F46" s="64">
        <f t="shared" si="3"/>
        <v>0</v>
      </c>
      <c r="G46" s="64"/>
      <c r="H46" s="74"/>
      <c r="I46" s="59"/>
      <c r="J46" s="59"/>
      <c r="K46" s="59"/>
      <c r="L46" s="59"/>
      <c r="M46" s="17"/>
      <c r="N46" s="85"/>
      <c r="O46" s="106"/>
      <c r="P46" s="54"/>
      <c r="Q46" s="79"/>
      <c r="R46" s="150"/>
      <c r="S46" s="150"/>
      <c r="T46" s="150"/>
      <c r="U46" s="150"/>
      <c r="V46" s="150"/>
    </row>
    <row r="47" spans="1:22" ht="12.4" customHeight="1" x14ac:dyDescent="0.2">
      <c r="A47" s="59">
        <v>20.259786605834961</v>
      </c>
      <c r="B47" s="158">
        <v>4.7279248875232618E-2</v>
      </c>
      <c r="C47" s="64">
        <f t="shared" si="0"/>
        <v>0</v>
      </c>
      <c r="D47" s="64">
        <f t="shared" si="1"/>
        <v>2.79732600527615E-2</v>
      </c>
      <c r="E47" s="64">
        <f t="shared" si="2"/>
        <v>0</v>
      </c>
      <c r="F47" s="64">
        <f t="shared" si="3"/>
        <v>0</v>
      </c>
      <c r="G47" s="64"/>
      <c r="H47" s="74"/>
      <c r="I47" s="59"/>
      <c r="J47" s="59"/>
      <c r="K47" s="59"/>
      <c r="L47" s="59"/>
      <c r="M47" s="17"/>
      <c r="N47" s="85"/>
      <c r="O47" s="106"/>
      <c r="P47" s="54"/>
      <c r="Q47" s="79"/>
      <c r="R47" s="150"/>
      <c r="S47" s="150"/>
      <c r="T47" s="150"/>
      <c r="U47" s="150"/>
      <c r="V47" s="150"/>
    </row>
    <row r="48" spans="1:22" ht="12.4" customHeight="1" x14ac:dyDescent="0.2">
      <c r="A48" s="59">
        <v>22.160892486572266</v>
      </c>
      <c r="B48" s="158">
        <v>4.7847358057735122E-2</v>
      </c>
      <c r="C48" s="64">
        <f t="shared" si="0"/>
        <v>0</v>
      </c>
      <c r="D48" s="64">
        <f t="shared" si="1"/>
        <v>2.8309387767955156E-2</v>
      </c>
      <c r="E48" s="64">
        <f t="shared" si="2"/>
        <v>0</v>
      </c>
      <c r="F48" s="64">
        <f t="shared" si="3"/>
        <v>0</v>
      </c>
      <c r="G48" s="64"/>
      <c r="H48" s="74"/>
      <c r="I48" s="59"/>
      <c r="J48" s="59"/>
      <c r="K48" s="59"/>
      <c r="L48" s="59"/>
      <c r="M48" s="17"/>
      <c r="N48" s="85"/>
      <c r="O48" s="106"/>
      <c r="P48" s="54"/>
      <c r="Q48" s="79"/>
      <c r="R48" s="150"/>
      <c r="S48" s="150"/>
      <c r="T48" s="150"/>
      <c r="U48" s="150"/>
      <c r="V48" s="150"/>
    </row>
    <row r="49" spans="1:22" ht="12.4" customHeight="1" x14ac:dyDescent="0.2">
      <c r="A49" s="59">
        <v>24.256324768066406</v>
      </c>
      <c r="B49" s="158">
        <v>4.822609282306204E-2</v>
      </c>
      <c r="C49" s="64">
        <f t="shared" si="0"/>
        <v>0</v>
      </c>
      <c r="D49" s="64">
        <f t="shared" si="1"/>
        <v>2.8533470136722684E-2</v>
      </c>
      <c r="E49" s="64">
        <f t="shared" si="2"/>
        <v>0</v>
      </c>
      <c r="F49" s="64">
        <f t="shared" si="3"/>
        <v>0</v>
      </c>
      <c r="G49" s="64"/>
      <c r="H49" s="74"/>
      <c r="I49" s="59"/>
      <c r="J49" s="59"/>
      <c r="K49" s="59"/>
      <c r="L49" s="17"/>
      <c r="M49" s="17"/>
      <c r="N49" s="85"/>
      <c r="O49" s="106"/>
      <c r="P49" s="54"/>
      <c r="Q49" s="79"/>
      <c r="R49" s="150"/>
      <c r="S49" s="150"/>
      <c r="T49" s="150"/>
      <c r="U49" s="150"/>
      <c r="V49" s="150"/>
    </row>
    <row r="50" spans="1:22" ht="12.4" customHeight="1" x14ac:dyDescent="0.2">
      <c r="A50" s="59">
        <v>26.599403381347656</v>
      </c>
      <c r="B50" s="158">
        <v>4.8667957237548735E-2</v>
      </c>
      <c r="C50" s="64">
        <f t="shared" si="0"/>
        <v>0</v>
      </c>
      <c r="D50" s="64">
        <f t="shared" si="1"/>
        <v>2.8794903819967438E-2</v>
      </c>
      <c r="E50" s="64">
        <f t="shared" si="2"/>
        <v>0</v>
      </c>
      <c r="F50" s="64">
        <f t="shared" si="3"/>
        <v>0</v>
      </c>
      <c r="G50" s="64"/>
      <c r="H50" s="74"/>
      <c r="I50" s="59"/>
      <c r="J50" s="59"/>
      <c r="K50" s="59"/>
      <c r="L50" s="17"/>
      <c r="M50" s="17"/>
      <c r="N50" s="85"/>
      <c r="O50" s="106"/>
      <c r="P50" s="54"/>
      <c r="Q50" s="79"/>
      <c r="R50" s="150"/>
      <c r="S50" s="150"/>
      <c r="T50" s="150"/>
      <c r="U50" s="150"/>
      <c r="V50" s="150"/>
    </row>
    <row r="51" spans="1:22" ht="12.4" customHeight="1" x14ac:dyDescent="0.2">
      <c r="A51" s="59">
        <v>28.96766471862793</v>
      </c>
      <c r="B51" s="158">
        <v>4.9236068265169172E-2</v>
      </c>
      <c r="C51" s="64">
        <f t="shared" si="0"/>
        <v>0</v>
      </c>
      <c r="D51" s="64">
        <f t="shared" si="1"/>
        <v>2.9131032626844341E-2</v>
      </c>
      <c r="E51" s="64">
        <f t="shared" si="2"/>
        <v>0</v>
      </c>
      <c r="F51" s="64">
        <f t="shared" si="3"/>
        <v>0</v>
      </c>
      <c r="G51" s="64"/>
      <c r="H51" s="74"/>
      <c r="I51" s="59"/>
      <c r="J51" s="59"/>
      <c r="K51" s="59"/>
      <c r="L51" s="17"/>
      <c r="M51" s="17"/>
      <c r="N51" s="85"/>
      <c r="O51" s="106"/>
      <c r="P51" s="54"/>
      <c r="Q51" s="79"/>
      <c r="R51" s="150"/>
      <c r="S51" s="150"/>
      <c r="T51" s="150"/>
      <c r="U51" s="150"/>
      <c r="V51" s="150"/>
    </row>
    <row r="52" spans="1:22" ht="12.4" customHeight="1" x14ac:dyDescent="0.2">
      <c r="A52" s="59">
        <v>29.812126159667969</v>
      </c>
      <c r="B52" s="158">
        <v>4.9236068265169172E-2</v>
      </c>
      <c r="C52" s="64">
        <f t="shared" si="0"/>
        <v>0</v>
      </c>
      <c r="D52" s="64">
        <f t="shared" si="1"/>
        <v>2.9131032626844341E-2</v>
      </c>
      <c r="E52" s="64">
        <f t="shared" si="2"/>
        <v>0</v>
      </c>
      <c r="F52" s="64">
        <f t="shared" si="3"/>
        <v>0</v>
      </c>
      <c r="G52" s="64"/>
      <c r="H52" s="74"/>
      <c r="I52" s="59"/>
      <c r="J52" s="59"/>
      <c r="K52" s="59"/>
      <c r="L52" s="17"/>
      <c r="M52" s="17"/>
      <c r="N52" s="85"/>
      <c r="O52" s="106"/>
      <c r="P52" s="54"/>
      <c r="Q52" s="79"/>
      <c r="R52" s="150"/>
      <c r="S52" s="150"/>
      <c r="T52" s="150"/>
      <c r="U52" s="150"/>
      <c r="V52" s="150"/>
    </row>
    <row r="53" spans="1:22" ht="12.4" customHeight="1" x14ac:dyDescent="0.2">
      <c r="A53" s="59">
        <v>32.570629119873047</v>
      </c>
      <c r="B53" s="158">
        <v>4.9236068265169172E-2</v>
      </c>
      <c r="C53" s="64">
        <f t="shared" si="0"/>
        <v>0</v>
      </c>
      <c r="D53" s="64">
        <f t="shared" si="1"/>
        <v>2.9131032626844341E-2</v>
      </c>
      <c r="E53" s="64">
        <f t="shared" si="2"/>
        <v>0</v>
      </c>
      <c r="F53" s="64">
        <f t="shared" si="3"/>
        <v>0</v>
      </c>
      <c r="G53" s="64"/>
      <c r="H53" s="74"/>
      <c r="I53" s="59"/>
      <c r="J53" s="59"/>
      <c r="K53" s="59"/>
      <c r="L53" s="17"/>
      <c r="M53" s="17"/>
      <c r="N53" s="85"/>
      <c r="O53" s="106"/>
      <c r="P53" s="54"/>
      <c r="Q53" s="79"/>
      <c r="R53" s="150"/>
      <c r="S53" s="150"/>
      <c r="T53" s="150"/>
      <c r="U53" s="150"/>
      <c r="V53" s="150"/>
    </row>
    <row r="54" spans="1:22" ht="12.4" customHeight="1" x14ac:dyDescent="0.2">
      <c r="A54" s="59">
        <v>36.388671875</v>
      </c>
      <c r="B54" s="158">
        <v>4.9236068265169172E-2</v>
      </c>
      <c r="C54" s="64">
        <f t="shared" si="0"/>
        <v>0</v>
      </c>
      <c r="D54" s="64">
        <f t="shared" si="1"/>
        <v>2.9131032626844341E-2</v>
      </c>
      <c r="E54" s="64">
        <f t="shared" si="2"/>
        <v>0</v>
      </c>
      <c r="F54" s="64">
        <f t="shared" si="3"/>
        <v>0</v>
      </c>
      <c r="G54" s="64"/>
      <c r="H54" s="74"/>
      <c r="I54" s="59"/>
      <c r="J54" s="59"/>
      <c r="K54" s="59"/>
      <c r="L54" s="17"/>
      <c r="M54" s="17"/>
      <c r="N54" s="85"/>
      <c r="O54" s="106"/>
      <c r="P54" s="54"/>
      <c r="Q54" s="79"/>
      <c r="R54" s="150"/>
      <c r="S54" s="150"/>
      <c r="T54" s="150"/>
      <c r="U54" s="150"/>
      <c r="V54" s="150"/>
    </row>
    <row r="55" spans="1:22" ht="12.4" customHeight="1" x14ac:dyDescent="0.2">
      <c r="A55" s="59">
        <v>40.323150634765625</v>
      </c>
      <c r="B55" s="158">
        <v>4.9236068265169172E-2</v>
      </c>
      <c r="C55" s="64">
        <f t="shared" si="0"/>
        <v>0</v>
      </c>
      <c r="D55" s="64">
        <f t="shared" si="1"/>
        <v>2.9131032626844341E-2</v>
      </c>
      <c r="E55" s="64">
        <f t="shared" si="2"/>
        <v>0</v>
      </c>
      <c r="F55" s="64">
        <f t="shared" si="3"/>
        <v>0</v>
      </c>
      <c r="G55" s="64"/>
      <c r="H55" s="74"/>
      <c r="I55" s="59"/>
      <c r="J55" s="59"/>
      <c r="K55" s="59"/>
      <c r="L55" s="17"/>
      <c r="M55" s="17"/>
      <c r="N55" s="85"/>
      <c r="O55" s="106"/>
      <c r="P55" s="54"/>
      <c r="Q55" s="79"/>
      <c r="R55" s="150"/>
      <c r="S55" s="150"/>
      <c r="T55" s="150"/>
      <c r="U55" s="150"/>
      <c r="V55" s="150"/>
    </row>
    <row r="56" spans="1:22" ht="12.4" customHeight="1" x14ac:dyDescent="0.2">
      <c r="A56" s="59">
        <v>44.258155822753906</v>
      </c>
      <c r="B56" s="158">
        <v>4.9658701061560541E-2</v>
      </c>
      <c r="C56" s="64">
        <f t="shared" si="0"/>
        <v>0</v>
      </c>
      <c r="D56" s="64">
        <f t="shared" si="1"/>
        <v>2.9381087722928464E-2</v>
      </c>
      <c r="E56" s="64">
        <f t="shared" si="2"/>
        <v>0</v>
      </c>
      <c r="F56" s="64">
        <f t="shared" si="3"/>
        <v>0</v>
      </c>
      <c r="G56" s="64"/>
      <c r="H56" s="74"/>
      <c r="I56" s="59"/>
      <c r="J56" s="59"/>
      <c r="K56" s="59"/>
      <c r="L56" s="17"/>
      <c r="M56" s="17"/>
      <c r="N56" s="85"/>
      <c r="O56" s="106"/>
      <c r="P56" s="54"/>
      <c r="Q56" s="79"/>
      <c r="R56" s="150"/>
      <c r="S56" s="150"/>
      <c r="T56" s="150"/>
      <c r="U56" s="150"/>
      <c r="V56" s="150"/>
    </row>
    <row r="57" spans="1:22" ht="12.4" customHeight="1" x14ac:dyDescent="0.2">
      <c r="A57" s="59">
        <v>49.374057769775391</v>
      </c>
      <c r="B57" s="158">
        <v>5.0758701061560538E-2</v>
      </c>
      <c r="C57" s="64">
        <f t="shared" si="0"/>
        <v>1.0999999999999968E-3</v>
      </c>
      <c r="D57" s="64">
        <f t="shared" si="1"/>
        <v>3.003191418041385E-2</v>
      </c>
      <c r="E57" s="64">
        <f t="shared" si="2"/>
        <v>6.7052727826881855E-4</v>
      </c>
      <c r="F57" s="64">
        <f t="shared" si="3"/>
        <v>6.7052727826881855E-4</v>
      </c>
      <c r="G57" s="64"/>
      <c r="H57" s="74"/>
      <c r="I57" s="17"/>
      <c r="J57" s="59"/>
      <c r="K57" s="59"/>
      <c r="L57" s="17"/>
      <c r="M57" s="17"/>
      <c r="N57" s="85"/>
      <c r="O57" s="106"/>
      <c r="P57" s="54"/>
      <c r="Q57" s="79"/>
      <c r="R57" s="150"/>
      <c r="S57" s="150"/>
      <c r="T57" s="150"/>
      <c r="U57" s="150"/>
      <c r="V57" s="150"/>
    </row>
    <row r="58" spans="1:22" ht="12.4" customHeight="1" x14ac:dyDescent="0.2">
      <c r="A58" s="59">
        <v>52.047706604003906</v>
      </c>
      <c r="B58" s="158">
        <v>5.205870106156054E-2</v>
      </c>
      <c r="C58" s="64">
        <f t="shared" si="0"/>
        <v>2.3999999999999994E-3</v>
      </c>
      <c r="D58" s="64">
        <f t="shared" si="1"/>
        <v>3.0801072721078401E-2</v>
      </c>
      <c r="E58" s="64">
        <f t="shared" si="2"/>
        <v>1.4629686071319715E-3</v>
      </c>
      <c r="F58" s="64">
        <f t="shared" si="3"/>
        <v>7.9244132886315292E-4</v>
      </c>
      <c r="G58" s="64"/>
      <c r="H58" s="74"/>
      <c r="I58" s="17"/>
      <c r="J58" s="59"/>
      <c r="K58" s="59"/>
      <c r="L58" s="17"/>
      <c r="M58" s="17"/>
      <c r="N58" s="85"/>
      <c r="O58" s="106"/>
      <c r="P58" s="54"/>
      <c r="Q58" s="79"/>
      <c r="R58" s="150"/>
      <c r="S58" s="150"/>
      <c r="T58" s="150"/>
      <c r="U58" s="150"/>
      <c r="V58" s="150"/>
    </row>
    <row r="59" spans="1:22" ht="12.4" customHeight="1" x14ac:dyDescent="0.2">
      <c r="A59" s="59">
        <v>58.846782684326172</v>
      </c>
      <c r="B59" s="158">
        <v>5.5158701061560539E-2</v>
      </c>
      <c r="C59" s="64">
        <f t="shared" si="0"/>
        <v>5.4999999999999979E-3</v>
      </c>
      <c r="D59" s="64">
        <f t="shared" si="1"/>
        <v>3.2635220010355404E-2</v>
      </c>
      <c r="E59" s="64">
        <f t="shared" si="2"/>
        <v>3.3526363913441012E-3</v>
      </c>
      <c r="F59" s="64">
        <f t="shared" si="3"/>
        <v>1.8896677842121297E-3</v>
      </c>
      <c r="G59" s="64"/>
      <c r="H59" s="74"/>
      <c r="I59" s="17"/>
      <c r="J59" s="59"/>
      <c r="K59" s="59"/>
      <c r="L59" s="17"/>
      <c r="M59" s="17"/>
      <c r="N59" s="85"/>
      <c r="O59" s="106"/>
      <c r="P59" s="54"/>
      <c r="Q59" s="79"/>
      <c r="R59" s="150"/>
      <c r="S59" s="150"/>
      <c r="T59" s="150"/>
      <c r="U59" s="150"/>
      <c r="V59" s="150"/>
    </row>
    <row r="60" spans="1:22" ht="12.4" customHeight="1" x14ac:dyDescent="0.2">
      <c r="A60" s="59">
        <v>63.858707427978516</v>
      </c>
      <c r="B60" s="158">
        <v>6.0458701061560538E-2</v>
      </c>
      <c r="C60" s="64">
        <f t="shared" si="0"/>
        <v>1.0799999999999997E-2</v>
      </c>
      <c r="D60" s="64">
        <f t="shared" si="1"/>
        <v>3.5771020214603183E-2</v>
      </c>
      <c r="E60" s="64">
        <f t="shared" si="2"/>
        <v>6.5833587320938717E-3</v>
      </c>
      <c r="F60" s="64">
        <f t="shared" si="3"/>
        <v>3.2307223407497705E-3</v>
      </c>
      <c r="G60" s="64"/>
      <c r="H60" s="74"/>
      <c r="I60" s="17"/>
      <c r="J60" s="59"/>
      <c r="K60" s="59"/>
      <c r="L60" s="17"/>
      <c r="M60" s="17"/>
      <c r="N60" s="85"/>
      <c r="O60" s="106"/>
      <c r="P60" s="54"/>
      <c r="Q60" s="79"/>
      <c r="R60" s="150"/>
      <c r="S60" s="150"/>
      <c r="T60" s="150"/>
      <c r="U60" s="150"/>
      <c r="V60" s="150"/>
    </row>
    <row r="61" spans="1:22" ht="12.4" customHeight="1" x14ac:dyDescent="0.2">
      <c r="A61" s="59">
        <v>70.839073181152344</v>
      </c>
      <c r="B61" s="158">
        <v>6.9058701061560535E-2</v>
      </c>
      <c r="C61" s="64">
        <f t="shared" si="0"/>
        <v>1.9399999999999994E-2</v>
      </c>
      <c r="D61" s="64">
        <f t="shared" si="1"/>
        <v>4.0859299791307119E-2</v>
      </c>
      <c r="E61" s="64">
        <f t="shared" si="2"/>
        <v>1.1825662907650102E-2</v>
      </c>
      <c r="F61" s="64">
        <f t="shared" si="3"/>
        <v>5.2423041755562299E-3</v>
      </c>
      <c r="G61" s="64"/>
      <c r="H61" s="74"/>
      <c r="I61" s="17"/>
      <c r="J61" s="59"/>
      <c r="K61" s="59"/>
      <c r="L61" s="17"/>
      <c r="M61" s="17"/>
      <c r="N61" s="85"/>
      <c r="O61" s="106"/>
      <c r="P61" s="54"/>
      <c r="Q61" s="79"/>
      <c r="R61" s="150"/>
      <c r="S61" s="150"/>
      <c r="T61" s="150"/>
      <c r="U61" s="150"/>
      <c r="V61" s="150"/>
    </row>
    <row r="62" spans="1:22" ht="12.4" customHeight="1" x14ac:dyDescent="0.2">
      <c r="A62" s="59">
        <v>75.749984741210937</v>
      </c>
      <c r="B62" s="158">
        <v>8.8658701061560541E-2</v>
      </c>
      <c r="C62" s="64">
        <f t="shared" si="0"/>
        <v>3.9E-2</v>
      </c>
      <c r="D62" s="64">
        <f t="shared" si="1"/>
        <v>5.2455843942864941E-2</v>
      </c>
      <c r="E62" s="64">
        <f t="shared" si="2"/>
        <v>2.3773239865894542E-2</v>
      </c>
      <c r="F62" s="64">
        <f t="shared" si="3"/>
        <v>1.194757695824444E-2</v>
      </c>
      <c r="G62" s="64"/>
      <c r="H62" s="74"/>
      <c r="I62" s="17"/>
      <c r="J62" s="59"/>
      <c r="K62" s="59"/>
      <c r="L62" s="17"/>
      <c r="M62" s="17"/>
      <c r="N62" s="85"/>
      <c r="O62" s="106"/>
      <c r="P62" s="54"/>
      <c r="Q62" s="79"/>
      <c r="R62" s="150"/>
      <c r="S62" s="150"/>
      <c r="T62" s="150"/>
      <c r="U62" s="150"/>
      <c r="V62" s="150"/>
    </row>
    <row r="63" spans="1:22" ht="12.4" customHeight="1" x14ac:dyDescent="0.2">
      <c r="A63" s="59">
        <v>82.688125610351563</v>
      </c>
      <c r="B63" s="158">
        <v>0.14225870106156055</v>
      </c>
      <c r="C63" s="64">
        <f t="shared" si="0"/>
        <v>9.2600000000000016E-2</v>
      </c>
      <c r="D63" s="64">
        <f t="shared" si="1"/>
        <v>8.4168842234880206E-2</v>
      </c>
      <c r="E63" s="64">
        <f t="shared" si="2"/>
        <v>5.6446205425175255E-2</v>
      </c>
      <c r="F63" s="64">
        <f t="shared" si="3"/>
        <v>3.2672965559280717E-2</v>
      </c>
      <c r="G63" s="64"/>
      <c r="H63" s="74"/>
      <c r="I63" s="17"/>
      <c r="J63" s="59"/>
      <c r="K63" s="59"/>
      <c r="L63" s="17"/>
      <c r="M63" s="17"/>
      <c r="N63" s="85"/>
      <c r="O63" s="106"/>
      <c r="P63" s="54"/>
      <c r="Q63" s="79"/>
      <c r="R63" s="150"/>
      <c r="S63" s="150"/>
      <c r="T63" s="150"/>
      <c r="U63" s="150"/>
      <c r="V63" s="150"/>
    </row>
    <row r="64" spans="1:22" x14ac:dyDescent="0.2">
      <c r="A64" s="59">
        <v>91.88909912109375</v>
      </c>
      <c r="B64" s="158">
        <v>0.24385870106156055</v>
      </c>
      <c r="C64" s="64">
        <f t="shared" si="0"/>
        <v>0.19420000000000001</v>
      </c>
      <c r="D64" s="64">
        <f t="shared" si="1"/>
        <v>0.14428154048989419</v>
      </c>
      <c r="E64" s="64">
        <f t="shared" si="2"/>
        <v>0.11837854312709541</v>
      </c>
      <c r="F64" s="64">
        <f t="shared" si="3"/>
        <v>6.1932337701920151E-2</v>
      </c>
      <c r="G64" s="64"/>
      <c r="H64" s="74"/>
      <c r="I64" s="17"/>
      <c r="J64" s="59"/>
      <c r="K64" s="59"/>
      <c r="L64" s="17"/>
      <c r="M64" s="17"/>
      <c r="N64" s="85"/>
      <c r="O64" s="106"/>
      <c r="P64" s="54"/>
      <c r="Q64" s="79"/>
      <c r="R64" s="150"/>
      <c r="S64" s="150"/>
      <c r="T64" s="150"/>
      <c r="U64" s="150"/>
      <c r="V64" s="150"/>
    </row>
    <row r="65" spans="1:22" x14ac:dyDescent="0.2">
      <c r="A65" s="59">
        <v>101.04996490478516</v>
      </c>
      <c r="B65" s="158">
        <v>0.38505870106156054</v>
      </c>
      <c r="C65" s="64">
        <f t="shared" si="0"/>
        <v>0.33539999999999998</v>
      </c>
      <c r="D65" s="64">
        <f t="shared" si="1"/>
        <v>0.22782399121438215</v>
      </c>
      <c r="E65" s="64">
        <f t="shared" si="2"/>
        <v>0.20444986284669306</v>
      </c>
      <c r="F65" s="64">
        <f t="shared" si="3"/>
        <v>8.6071319719597653E-2</v>
      </c>
      <c r="G65" s="64"/>
      <c r="H65" s="74"/>
      <c r="I65" s="17"/>
      <c r="J65" s="59"/>
      <c r="K65" s="59"/>
      <c r="L65" s="17"/>
      <c r="M65" s="17"/>
      <c r="N65" s="85"/>
      <c r="O65" s="106"/>
      <c r="P65" s="54"/>
      <c r="Q65" s="79"/>
      <c r="R65" s="150"/>
      <c r="S65" s="150"/>
      <c r="T65" s="150"/>
      <c r="U65" s="150"/>
      <c r="V65" s="150"/>
    </row>
    <row r="66" spans="1:22" x14ac:dyDescent="0.2">
      <c r="A66" s="59">
        <v>110.13271331787109</v>
      </c>
      <c r="B66" s="158">
        <v>0.55015870106156051</v>
      </c>
      <c r="C66" s="64">
        <f t="shared" si="0"/>
        <v>0.50049999999999994</v>
      </c>
      <c r="D66" s="64">
        <f t="shared" si="1"/>
        <v>0.32550712587877989</v>
      </c>
      <c r="E66" s="64">
        <f t="shared" si="2"/>
        <v>0.30508991161231325</v>
      </c>
      <c r="F66" s="64">
        <f t="shared" si="3"/>
        <v>0.10064004876562019</v>
      </c>
      <c r="G66" s="64"/>
      <c r="H66" s="74"/>
      <c r="I66" s="17"/>
      <c r="J66" s="59"/>
      <c r="K66" s="59"/>
      <c r="L66" s="17"/>
      <c r="M66" s="17"/>
      <c r="N66" s="85"/>
      <c r="O66" s="106"/>
      <c r="P66" s="54"/>
      <c r="Q66" s="79"/>
      <c r="R66" s="150"/>
      <c r="S66" s="150"/>
      <c r="T66" s="150"/>
      <c r="U66" s="150"/>
      <c r="V66" s="150"/>
    </row>
    <row r="67" spans="1:22" x14ac:dyDescent="0.2">
      <c r="A67" s="59">
        <v>120.52999114990234</v>
      </c>
      <c r="B67" s="158">
        <v>0.66085870106156053</v>
      </c>
      <c r="C67" s="64">
        <f t="shared" si="0"/>
        <v>0.61119999999999997</v>
      </c>
      <c r="D67" s="64">
        <f t="shared" si="1"/>
        <v>0.39100393391844573</v>
      </c>
      <c r="E67" s="64">
        <f t="shared" si="2"/>
        <v>0.3725693386162755</v>
      </c>
      <c r="F67" s="64">
        <f t="shared" si="3"/>
        <v>6.7479427003962256E-2</v>
      </c>
      <c r="G67" s="64"/>
      <c r="H67" s="74"/>
      <c r="I67" s="17"/>
      <c r="J67" s="59"/>
      <c r="K67" s="17"/>
      <c r="L67" s="17"/>
      <c r="M67" s="17"/>
      <c r="N67" s="85"/>
      <c r="O67" s="106"/>
      <c r="P67" s="54"/>
      <c r="Q67" s="79"/>
      <c r="R67" s="150"/>
      <c r="S67" s="150"/>
      <c r="T67" s="150"/>
      <c r="U67" s="150"/>
      <c r="V67" s="150"/>
    </row>
    <row r="68" spans="1:22" x14ac:dyDescent="0.2">
      <c r="A68" s="59">
        <v>132.16075134277344</v>
      </c>
      <c r="B68" s="158">
        <v>0.71645870106156051</v>
      </c>
      <c r="C68" s="64">
        <f t="shared" si="0"/>
        <v>0.66679999999999995</v>
      </c>
      <c r="D68" s="64">
        <f t="shared" si="1"/>
        <v>0.42390025304225259</v>
      </c>
      <c r="E68" s="64">
        <f t="shared" si="2"/>
        <v>0.40646144468149947</v>
      </c>
      <c r="F68" s="64">
        <f t="shared" si="3"/>
        <v>3.389210606522397E-2</v>
      </c>
      <c r="G68" s="64"/>
      <c r="H68" s="74"/>
      <c r="I68" s="17"/>
      <c r="J68" s="59"/>
      <c r="K68" s="17"/>
      <c r="L68" s="17"/>
      <c r="M68" s="17"/>
      <c r="N68" s="85"/>
      <c r="O68" s="106"/>
      <c r="P68" s="54"/>
      <c r="Q68" s="150"/>
      <c r="R68" s="150"/>
      <c r="S68" s="150"/>
      <c r="T68" s="150"/>
      <c r="U68" s="150"/>
      <c r="V68" s="150"/>
    </row>
    <row r="69" spans="1:22" x14ac:dyDescent="0.2">
      <c r="A69" s="59">
        <v>144.48294067382812</v>
      </c>
      <c r="B69" s="158">
        <v>0.75775870106156051</v>
      </c>
      <c r="C69" s="64">
        <f t="shared" si="0"/>
        <v>0.70809999999999995</v>
      </c>
      <c r="D69" s="64">
        <f t="shared" si="1"/>
        <v>0.44833582821874945</v>
      </c>
      <c r="E69" s="64">
        <f t="shared" si="2"/>
        <v>0.43163669612922884</v>
      </c>
      <c r="F69" s="64">
        <f t="shared" si="3"/>
        <v>2.5175251447729363E-2</v>
      </c>
      <c r="G69" s="64"/>
      <c r="H69" s="74"/>
      <c r="I69" s="17"/>
      <c r="J69" s="119"/>
      <c r="K69" s="17"/>
      <c r="L69" s="17"/>
      <c r="M69" s="119"/>
      <c r="N69" s="85"/>
      <c r="O69" s="106"/>
      <c r="P69" s="54"/>
      <c r="Q69" s="150"/>
      <c r="R69" s="150"/>
      <c r="S69" s="150"/>
      <c r="T69" s="150"/>
      <c r="U69" s="150"/>
      <c r="V69" s="150"/>
    </row>
    <row r="70" spans="1:22" x14ac:dyDescent="0.2">
      <c r="A70" s="59">
        <v>158.00871276855469</v>
      </c>
      <c r="B70" s="158">
        <v>0.79745870106156058</v>
      </c>
      <c r="C70" s="64">
        <f t="shared" si="0"/>
        <v>0.74780000000000002</v>
      </c>
      <c r="D70" s="64">
        <f t="shared" si="1"/>
        <v>0.471824746729813</v>
      </c>
      <c r="E70" s="64">
        <f t="shared" si="2"/>
        <v>0.45583663517220357</v>
      </c>
      <c r="F70" s="64">
        <f t="shared" si="3"/>
        <v>2.4199939042974739E-2</v>
      </c>
      <c r="G70" s="64"/>
      <c r="H70" s="74"/>
      <c r="I70" s="17"/>
      <c r="J70" s="119"/>
      <c r="K70" s="17"/>
      <c r="L70" s="17"/>
      <c r="M70" s="119"/>
      <c r="N70" s="85"/>
      <c r="O70" s="106"/>
      <c r="P70" s="54"/>
      <c r="Q70" s="150"/>
      <c r="R70" s="150"/>
      <c r="S70" s="150"/>
      <c r="T70" s="150"/>
      <c r="U70" s="150"/>
      <c r="V70" s="150"/>
    </row>
    <row r="71" spans="1:22" x14ac:dyDescent="0.2">
      <c r="A71" s="59">
        <v>173.680908203125</v>
      </c>
      <c r="B71" s="158">
        <v>0.83285870106156057</v>
      </c>
      <c r="C71" s="64">
        <f t="shared" si="0"/>
        <v>0.78320000000000001</v>
      </c>
      <c r="D71" s="64">
        <f t="shared" si="1"/>
        <v>0.49276952545252456</v>
      </c>
      <c r="E71" s="64">
        <f t="shared" si="2"/>
        <v>0.47741542212740018</v>
      </c>
      <c r="F71" s="64">
        <f t="shared" si="3"/>
        <v>2.1578786955196605E-2</v>
      </c>
      <c r="G71" s="64"/>
      <c r="H71" s="74"/>
      <c r="I71" s="17"/>
      <c r="J71" s="119"/>
      <c r="K71" s="17"/>
      <c r="L71" s="17"/>
      <c r="M71" s="119"/>
      <c r="N71" s="85"/>
      <c r="O71" s="106"/>
      <c r="P71" s="54"/>
      <c r="Q71" s="150"/>
      <c r="R71" s="150"/>
      <c r="S71" s="150"/>
      <c r="T71" s="150"/>
      <c r="U71" s="150"/>
      <c r="V71" s="150"/>
    </row>
    <row r="72" spans="1:22" x14ac:dyDescent="0.2">
      <c r="A72" s="59">
        <v>189.90277099609375</v>
      </c>
      <c r="B72" s="158">
        <v>0.86595870106156059</v>
      </c>
      <c r="C72" s="64">
        <f t="shared" si="0"/>
        <v>0.81630000000000003</v>
      </c>
      <c r="D72" s="64">
        <f t="shared" si="1"/>
        <v>0.51235348521867574</v>
      </c>
      <c r="E72" s="64">
        <f t="shared" si="2"/>
        <v>0.49759219750076195</v>
      </c>
      <c r="F72" s="64">
        <f t="shared" si="3"/>
        <v>2.0176775373361766E-2</v>
      </c>
      <c r="G72" s="64"/>
      <c r="H72" s="74"/>
      <c r="I72" s="17"/>
      <c r="J72" s="119"/>
      <c r="K72" s="17"/>
      <c r="L72" s="17"/>
      <c r="M72" s="119"/>
      <c r="N72" s="85"/>
      <c r="O72" s="106"/>
      <c r="P72" s="54"/>
      <c r="Q72" s="150"/>
      <c r="R72" s="150"/>
      <c r="S72" s="150"/>
      <c r="T72" s="150"/>
      <c r="U72" s="150"/>
      <c r="V72" s="150"/>
    </row>
    <row r="73" spans="1:22" x14ac:dyDescent="0.2">
      <c r="A73" s="59">
        <v>207.73518371582031</v>
      </c>
      <c r="B73" s="158">
        <v>0.89565870106156054</v>
      </c>
      <c r="C73" s="64">
        <f t="shared" si="0"/>
        <v>0.84599999999999997</v>
      </c>
      <c r="D73" s="64">
        <f t="shared" si="1"/>
        <v>0.52992579957078123</v>
      </c>
      <c r="E73" s="64">
        <f t="shared" si="2"/>
        <v>0.5156964340140201</v>
      </c>
      <c r="F73" s="64">
        <f t="shared" si="3"/>
        <v>1.8104236513258154E-2</v>
      </c>
      <c r="G73" s="64"/>
      <c r="H73" s="74"/>
      <c r="I73" s="17"/>
      <c r="J73" s="119"/>
      <c r="K73" s="17"/>
      <c r="L73" s="17"/>
      <c r="M73" s="119"/>
      <c r="N73" s="85"/>
      <c r="O73" s="106"/>
      <c r="P73" s="54"/>
      <c r="Q73" s="150"/>
      <c r="R73" s="150"/>
      <c r="S73" s="150"/>
      <c r="T73" s="150"/>
      <c r="U73" s="150"/>
      <c r="V73" s="150"/>
    </row>
    <row r="74" spans="1:22" x14ac:dyDescent="0.2">
      <c r="A74" s="59">
        <v>227.25628662109375</v>
      </c>
      <c r="B74" s="158">
        <v>0.92495870106156053</v>
      </c>
      <c r="C74" s="64">
        <f t="shared" si="0"/>
        <v>0.87529999999999997</v>
      </c>
      <c r="D74" s="64">
        <f t="shared" si="1"/>
        <v>0.54726144975652835</v>
      </c>
      <c r="E74" s="64">
        <f t="shared" si="2"/>
        <v>0.53355684242608958</v>
      </c>
      <c r="F74" s="64">
        <f t="shared" si="3"/>
        <v>1.7860408412069484E-2</v>
      </c>
      <c r="G74" s="64"/>
      <c r="H74" s="74"/>
      <c r="I74" s="17"/>
      <c r="J74" s="119"/>
      <c r="K74" s="17"/>
      <c r="L74" s="119"/>
      <c r="M74" s="119"/>
      <c r="N74" s="85"/>
      <c r="O74" s="106"/>
      <c r="P74" s="54"/>
      <c r="Q74" s="150"/>
      <c r="R74" s="150"/>
      <c r="S74" s="150"/>
      <c r="T74" s="150"/>
      <c r="U74" s="150"/>
      <c r="V74" s="150"/>
    </row>
    <row r="75" spans="1:22" x14ac:dyDescent="0.2">
      <c r="A75" s="59">
        <v>250.01400756835938</v>
      </c>
      <c r="B75" s="158">
        <v>0.95225870106156052</v>
      </c>
      <c r="C75" s="64">
        <f t="shared" si="0"/>
        <v>0.90259999999999996</v>
      </c>
      <c r="D75" s="64">
        <f t="shared" si="1"/>
        <v>0.56341377911048396</v>
      </c>
      <c r="E75" s="64">
        <f t="shared" si="2"/>
        <v>0.55019811033221577</v>
      </c>
      <c r="F75" s="64">
        <f t="shared" si="3"/>
        <v>1.6641267906126189E-2</v>
      </c>
      <c r="G75" s="64"/>
      <c r="H75" s="74"/>
      <c r="I75" s="17"/>
      <c r="J75" s="119"/>
      <c r="K75" s="17"/>
      <c r="L75" s="119"/>
      <c r="M75" s="119"/>
      <c r="N75" s="85"/>
      <c r="O75" s="106"/>
      <c r="P75" s="54"/>
      <c r="Q75" s="150"/>
      <c r="R75" s="150"/>
      <c r="S75" s="150"/>
      <c r="T75" s="150"/>
      <c r="U75" s="150"/>
      <c r="V75" s="150"/>
    </row>
    <row r="76" spans="1:22" x14ac:dyDescent="0.2">
      <c r="A76" s="59">
        <v>273.13150024414062</v>
      </c>
      <c r="B76" s="158">
        <v>0.97755870106156051</v>
      </c>
      <c r="C76" s="64">
        <f t="shared" si="0"/>
        <v>0.92789999999999995</v>
      </c>
      <c r="D76" s="64">
        <f t="shared" si="1"/>
        <v>0.57838278763264783</v>
      </c>
      <c r="E76" s="64">
        <f t="shared" si="2"/>
        <v>0.56562023773239856</v>
      </c>
      <c r="F76" s="64">
        <f t="shared" si="3"/>
        <v>1.5422127400182783E-2</v>
      </c>
      <c r="G76" s="64"/>
      <c r="H76" s="74"/>
      <c r="I76" s="17"/>
      <c r="J76" s="119"/>
      <c r="K76" s="17"/>
      <c r="L76" s="119"/>
      <c r="M76" s="119"/>
      <c r="N76" s="85"/>
      <c r="O76" s="106"/>
      <c r="P76" s="54"/>
      <c r="Q76" s="150"/>
      <c r="R76" s="150"/>
      <c r="S76" s="150"/>
      <c r="T76" s="150"/>
      <c r="U76" s="150"/>
      <c r="V76" s="150"/>
    </row>
    <row r="77" spans="1:22" x14ac:dyDescent="0.2">
      <c r="A77" s="59">
        <v>299.17291259765625</v>
      </c>
      <c r="B77" s="158">
        <v>1.0009587010615606</v>
      </c>
      <c r="C77" s="64">
        <f t="shared" si="0"/>
        <v>0.95130000000000003</v>
      </c>
      <c r="D77" s="64">
        <f t="shared" si="1"/>
        <v>0.5922276413646097</v>
      </c>
      <c r="E77" s="64">
        <f t="shared" si="2"/>
        <v>0.57988418165193534</v>
      </c>
      <c r="F77" s="64">
        <f t="shared" si="3"/>
        <v>1.4263943919536781E-2</v>
      </c>
      <c r="G77" s="64"/>
      <c r="H77" s="74"/>
      <c r="I77" s="17"/>
      <c r="J77" s="119"/>
      <c r="K77" s="17"/>
      <c r="L77" s="119"/>
      <c r="M77" s="119"/>
      <c r="N77" s="85"/>
      <c r="O77" s="106"/>
      <c r="P77" s="54"/>
      <c r="Q77" s="150"/>
      <c r="R77" s="150"/>
      <c r="S77" s="150"/>
      <c r="T77" s="150"/>
      <c r="U77" s="150"/>
      <c r="V77" s="150"/>
    </row>
    <row r="78" spans="1:22" x14ac:dyDescent="0.2">
      <c r="A78" s="59">
        <v>327.35787963867187</v>
      </c>
      <c r="B78" s="158">
        <v>1.0232587010615606</v>
      </c>
      <c r="C78" s="64">
        <f t="shared" si="0"/>
        <v>0.97360000000000002</v>
      </c>
      <c r="D78" s="64">
        <f t="shared" si="1"/>
        <v>0.6054216686390862</v>
      </c>
      <c r="E78" s="64">
        <f t="shared" si="2"/>
        <v>0.59347759829320323</v>
      </c>
      <c r="F78" s="64">
        <f t="shared" si="3"/>
        <v>1.3593416641267897E-2</v>
      </c>
      <c r="G78" s="64"/>
      <c r="H78" s="74"/>
      <c r="I78" s="17"/>
      <c r="J78" s="119"/>
      <c r="K78" s="17"/>
      <c r="L78" s="119"/>
      <c r="M78" s="119"/>
      <c r="N78" s="85"/>
      <c r="O78" s="106"/>
      <c r="P78" s="54"/>
      <c r="Q78" s="150"/>
      <c r="R78" s="150"/>
      <c r="S78" s="150"/>
      <c r="T78" s="150"/>
      <c r="U78" s="150"/>
      <c r="V78" s="150"/>
    </row>
    <row r="79" spans="1:22" x14ac:dyDescent="0.2">
      <c r="A79" s="59">
        <v>357.53256225585938</v>
      </c>
      <c r="B79" s="158">
        <v>1.0460587010615605</v>
      </c>
      <c r="C79" s="64">
        <f t="shared" si="0"/>
        <v>0.99639999999999995</v>
      </c>
      <c r="D79" s="64">
        <f t="shared" si="1"/>
        <v>0.61891152612151057</v>
      </c>
      <c r="E79" s="64">
        <f t="shared" si="2"/>
        <v>0.60737580006095693</v>
      </c>
      <c r="F79" s="64">
        <f t="shared" si="3"/>
        <v>1.3898201767753693E-2</v>
      </c>
      <c r="G79" s="64"/>
      <c r="H79" s="74"/>
      <c r="I79" s="17"/>
      <c r="J79" s="119"/>
      <c r="K79" s="17"/>
      <c r="L79" s="119"/>
      <c r="M79" s="119"/>
      <c r="N79" s="85"/>
      <c r="O79" s="106"/>
      <c r="P79" s="54"/>
      <c r="Q79" s="150"/>
      <c r="R79" s="150"/>
      <c r="S79" s="150"/>
      <c r="T79" s="150"/>
      <c r="U79" s="150"/>
      <c r="V79" s="150"/>
    </row>
    <row r="80" spans="1:22" x14ac:dyDescent="0.2">
      <c r="A80" s="59">
        <v>391.70175170898437</v>
      </c>
      <c r="B80" s="158">
        <v>1.0676587010615606</v>
      </c>
      <c r="C80" s="64">
        <f t="shared" si="0"/>
        <v>1.018</v>
      </c>
      <c r="D80" s="64">
        <f t="shared" si="1"/>
        <v>0.63169139110486006</v>
      </c>
      <c r="E80" s="64">
        <f t="shared" si="2"/>
        <v>0.62054251752514478</v>
      </c>
      <c r="F80" s="64">
        <f t="shared" si="3"/>
        <v>1.3166717464187849E-2</v>
      </c>
      <c r="G80" s="64"/>
      <c r="H80" s="74"/>
      <c r="I80" s="17"/>
      <c r="J80" s="119"/>
      <c r="K80" s="17"/>
      <c r="L80" s="119"/>
      <c r="M80" s="119"/>
      <c r="N80" s="85"/>
      <c r="O80" s="106"/>
      <c r="P80" s="54"/>
      <c r="Q80" s="150"/>
      <c r="R80" s="150"/>
      <c r="S80" s="150"/>
      <c r="T80" s="150"/>
      <c r="U80" s="150"/>
      <c r="V80" s="150"/>
    </row>
    <row r="81" spans="1:22" x14ac:dyDescent="0.2">
      <c r="A81" s="59">
        <v>428.66647338867188</v>
      </c>
      <c r="B81" s="158">
        <v>1.0889587010615605</v>
      </c>
      <c r="C81" s="64">
        <f t="shared" si="0"/>
        <v>1.0392999999999999</v>
      </c>
      <c r="D81" s="64">
        <f t="shared" si="1"/>
        <v>0.64429375796344068</v>
      </c>
      <c r="E81" s="64">
        <f t="shared" si="2"/>
        <v>0.63352636391344097</v>
      </c>
      <c r="F81" s="64">
        <f t="shared" si="3"/>
        <v>1.2983846388296194E-2</v>
      </c>
      <c r="G81" s="64"/>
      <c r="H81" s="74"/>
      <c r="I81" s="17"/>
      <c r="J81" s="119"/>
      <c r="K81" s="17"/>
      <c r="L81" s="119"/>
      <c r="M81" s="119"/>
      <c r="N81" s="85"/>
      <c r="O81" s="106"/>
      <c r="P81" s="54"/>
      <c r="Q81" s="150"/>
      <c r="R81" s="150"/>
      <c r="S81" s="150"/>
      <c r="T81" s="150"/>
      <c r="U81" s="150"/>
      <c r="V81" s="150"/>
    </row>
    <row r="82" spans="1:22" x14ac:dyDescent="0.2">
      <c r="A82" s="59">
        <v>469.22003173828125</v>
      </c>
      <c r="B82" s="158">
        <v>1.1091587010615607</v>
      </c>
      <c r="C82" s="64">
        <f t="shared" si="0"/>
        <v>1.0595000000000001</v>
      </c>
      <c r="D82" s="64">
        <f t="shared" si="1"/>
        <v>0.65624529836453616</v>
      </c>
      <c r="E82" s="64">
        <f t="shared" si="2"/>
        <v>0.6458396830234685</v>
      </c>
      <c r="F82" s="64">
        <f t="shared" si="3"/>
        <v>1.2313319110027532E-2</v>
      </c>
      <c r="G82" s="64"/>
      <c r="H82" s="74"/>
      <c r="I82" s="17"/>
      <c r="J82" s="119"/>
      <c r="K82" s="17"/>
      <c r="L82" s="119"/>
      <c r="M82" s="119"/>
      <c r="N82" s="85"/>
      <c r="O82" s="106"/>
      <c r="P82" s="54"/>
      <c r="Q82" s="150"/>
      <c r="R82" s="150"/>
      <c r="S82" s="150"/>
      <c r="T82" s="150"/>
      <c r="U82" s="150"/>
      <c r="V82" s="150"/>
    </row>
    <row r="83" spans="1:22" x14ac:dyDescent="0.2">
      <c r="A83" s="59">
        <v>513.06890869140625</v>
      </c>
      <c r="B83" s="158">
        <v>1.1297587010615606</v>
      </c>
      <c r="C83" s="64">
        <f t="shared" si="0"/>
        <v>1.0801000000000001</v>
      </c>
      <c r="D83" s="64">
        <f t="shared" si="1"/>
        <v>0.66843350293198966</v>
      </c>
      <c r="E83" s="64">
        <f t="shared" si="2"/>
        <v>0.65839683023468454</v>
      </c>
      <c r="F83" s="64">
        <f t="shared" si="3"/>
        <v>1.2557147211216035E-2</v>
      </c>
      <c r="G83" s="64"/>
      <c r="H83" s="74"/>
      <c r="I83" s="119"/>
      <c r="J83" s="119"/>
      <c r="K83" s="17"/>
      <c r="L83" s="119"/>
      <c r="M83" s="119"/>
      <c r="N83" s="85"/>
      <c r="O83" s="106"/>
      <c r="P83" s="54"/>
      <c r="Q83" s="150"/>
      <c r="R83" s="150"/>
      <c r="S83" s="150"/>
      <c r="T83" s="150"/>
      <c r="U83" s="150"/>
      <c r="V83" s="150"/>
    </row>
    <row r="84" spans="1:22" x14ac:dyDescent="0.2">
      <c r="A84" s="59">
        <v>561.36602783203125</v>
      </c>
      <c r="B84" s="158">
        <v>1.1504587010615606</v>
      </c>
      <c r="C84" s="64">
        <f t="shared" si="0"/>
        <v>1.1008</v>
      </c>
      <c r="D84" s="64">
        <f t="shared" si="1"/>
        <v>0.6806808735410329</v>
      </c>
      <c r="E84" s="64">
        <f t="shared" si="2"/>
        <v>0.67101493447119775</v>
      </c>
      <c r="F84" s="64">
        <f t="shared" si="3"/>
        <v>1.2618104236513217E-2</v>
      </c>
      <c r="G84" s="64"/>
      <c r="H84" s="74"/>
      <c r="I84" s="119"/>
      <c r="J84" s="119"/>
      <c r="K84" s="17"/>
      <c r="L84" s="119"/>
      <c r="M84" s="119"/>
      <c r="N84" s="85"/>
      <c r="O84" s="106"/>
      <c r="P84" s="54"/>
      <c r="Q84" s="150"/>
      <c r="R84" s="150"/>
      <c r="S84" s="150"/>
      <c r="T84" s="150"/>
      <c r="U84" s="150"/>
      <c r="V84" s="150"/>
    </row>
    <row r="85" spans="1:22" x14ac:dyDescent="0.2">
      <c r="A85" s="59">
        <v>613.5567626953125</v>
      </c>
      <c r="B85" s="158">
        <v>1.1704587010615606</v>
      </c>
      <c r="C85" s="64">
        <f t="shared" si="0"/>
        <v>1.1208</v>
      </c>
      <c r="D85" s="64">
        <f t="shared" si="1"/>
        <v>0.69251408185894903</v>
      </c>
      <c r="E85" s="64">
        <f t="shared" si="2"/>
        <v>0.68320633953063092</v>
      </c>
      <c r="F85" s="64">
        <f t="shared" si="3"/>
        <v>1.2191405059433169E-2</v>
      </c>
      <c r="G85" s="64"/>
      <c r="H85" s="74"/>
      <c r="I85" s="119"/>
      <c r="J85" s="119"/>
      <c r="K85" s="17"/>
      <c r="L85" s="119"/>
      <c r="M85" s="119"/>
      <c r="N85" s="85"/>
      <c r="O85" s="106"/>
      <c r="P85" s="54"/>
      <c r="Q85" s="150"/>
      <c r="R85" s="150"/>
      <c r="S85" s="150"/>
      <c r="T85" s="150"/>
      <c r="U85" s="150"/>
      <c r="V85" s="150"/>
    </row>
    <row r="86" spans="1:22" x14ac:dyDescent="0.2">
      <c r="A86" s="59">
        <v>671.9100341796875</v>
      </c>
      <c r="B86" s="158">
        <v>1.1905587010615606</v>
      </c>
      <c r="C86" s="64">
        <f t="shared" si="0"/>
        <v>1.1409</v>
      </c>
      <c r="D86" s="64">
        <f t="shared" si="1"/>
        <v>0.70440645621845477</v>
      </c>
      <c r="E86" s="64">
        <f t="shared" si="2"/>
        <v>0.69545870161536116</v>
      </c>
      <c r="F86" s="64">
        <f t="shared" si="3"/>
        <v>1.2252362084730239E-2</v>
      </c>
      <c r="G86" s="64"/>
      <c r="H86" s="74"/>
      <c r="I86" s="119"/>
      <c r="J86" s="119"/>
      <c r="K86" s="17"/>
      <c r="L86" s="119"/>
      <c r="M86" s="119"/>
      <c r="N86" s="85"/>
      <c r="O86" s="106"/>
      <c r="P86" s="54"/>
      <c r="Q86" s="150"/>
      <c r="R86" s="150"/>
      <c r="S86" s="150"/>
      <c r="T86" s="150"/>
      <c r="U86" s="150"/>
      <c r="V86" s="150"/>
    </row>
    <row r="87" spans="1:22" x14ac:dyDescent="0.2">
      <c r="A87" s="59">
        <v>734.96923828125</v>
      </c>
      <c r="B87" s="158">
        <v>1.2101587010615606</v>
      </c>
      <c r="C87" s="64">
        <f t="shared" si="0"/>
        <v>1.1605000000000001</v>
      </c>
      <c r="D87" s="64">
        <f t="shared" si="1"/>
        <v>0.71600300037001263</v>
      </c>
      <c r="E87" s="64">
        <f t="shared" si="2"/>
        <v>0.70740627857360561</v>
      </c>
      <c r="F87" s="64">
        <f t="shared" si="3"/>
        <v>1.1947576958244444E-2</v>
      </c>
      <c r="G87" s="64"/>
      <c r="H87" s="74"/>
      <c r="I87" s="119"/>
      <c r="J87" s="119"/>
      <c r="K87" s="17"/>
      <c r="L87" s="119"/>
      <c r="M87" s="119"/>
      <c r="N87" s="85"/>
      <c r="O87" s="106"/>
      <c r="P87" s="54"/>
      <c r="Q87" s="150"/>
      <c r="R87" s="150"/>
      <c r="S87" s="150"/>
      <c r="T87" s="150"/>
      <c r="U87" s="150"/>
      <c r="V87" s="150"/>
    </row>
    <row r="88" spans="1:22" x14ac:dyDescent="0.2">
      <c r="A88" s="59">
        <v>804.43756103515625</v>
      </c>
      <c r="B88" s="158">
        <v>1.2286587010615606</v>
      </c>
      <c r="C88" s="64">
        <f t="shared" si="0"/>
        <v>1.179</v>
      </c>
      <c r="D88" s="64">
        <f t="shared" si="1"/>
        <v>0.72694871806408501</v>
      </c>
      <c r="E88" s="64">
        <f t="shared" si="2"/>
        <v>0.71868332825358128</v>
      </c>
      <c r="F88" s="64">
        <f t="shared" si="3"/>
        <v>1.127704967997567E-2</v>
      </c>
      <c r="G88" s="64"/>
      <c r="H88" s="74"/>
      <c r="I88" s="119"/>
      <c r="J88" s="119"/>
      <c r="K88" s="17"/>
      <c r="L88" s="119"/>
      <c r="M88" s="119"/>
      <c r="N88" s="85"/>
      <c r="O88" s="106"/>
      <c r="P88" s="54"/>
      <c r="Q88" s="150"/>
      <c r="R88" s="150"/>
      <c r="S88" s="150"/>
      <c r="T88" s="150"/>
      <c r="U88" s="150"/>
      <c r="V88" s="150"/>
    </row>
    <row r="89" spans="1:22" x14ac:dyDescent="0.2">
      <c r="A89" s="59">
        <v>879.293212890625</v>
      </c>
      <c r="B89" s="158">
        <v>1.2471587010615606</v>
      </c>
      <c r="C89" s="64">
        <f t="shared" si="0"/>
        <v>1.1975</v>
      </c>
      <c r="D89" s="64">
        <f t="shared" si="1"/>
        <v>0.73789443575815739</v>
      </c>
      <c r="E89" s="64">
        <f t="shared" si="2"/>
        <v>0.72996037793355684</v>
      </c>
      <c r="F89" s="64">
        <f t="shared" si="3"/>
        <v>1.1277049679975559E-2</v>
      </c>
      <c r="G89" s="64"/>
      <c r="H89" s="74"/>
      <c r="I89" s="119"/>
      <c r="J89" s="119"/>
      <c r="K89" s="17"/>
      <c r="L89" s="119"/>
      <c r="M89" s="119"/>
      <c r="N89" s="85"/>
      <c r="O89" s="106"/>
      <c r="P89" s="54"/>
      <c r="Q89" s="150"/>
      <c r="R89" s="150"/>
      <c r="S89" s="150"/>
      <c r="T89" s="150"/>
      <c r="U89" s="150"/>
      <c r="V89" s="150"/>
    </row>
    <row r="90" spans="1:22" x14ac:dyDescent="0.2">
      <c r="A90" s="59">
        <v>962.67474365234375</v>
      </c>
      <c r="B90" s="158">
        <v>1.2654587010615606</v>
      </c>
      <c r="C90" s="64">
        <f t="shared" si="0"/>
        <v>1.2158</v>
      </c>
      <c r="D90" s="64">
        <f t="shared" si="1"/>
        <v>0.74872182136905074</v>
      </c>
      <c r="E90" s="64">
        <f t="shared" si="2"/>
        <v>0.74111551356293814</v>
      </c>
      <c r="F90" s="64">
        <f t="shared" si="3"/>
        <v>1.1155135629381308E-2</v>
      </c>
      <c r="G90" s="64"/>
      <c r="H90" s="74"/>
      <c r="I90" s="119"/>
      <c r="J90" s="119"/>
      <c r="K90" s="17"/>
      <c r="L90" s="119"/>
      <c r="M90" s="119"/>
      <c r="N90" s="85"/>
      <c r="O90" s="106"/>
      <c r="P90" s="54"/>
      <c r="Q90" s="150"/>
      <c r="R90" s="150"/>
      <c r="S90" s="150"/>
      <c r="T90" s="150"/>
      <c r="U90" s="150"/>
      <c r="V90" s="150"/>
    </row>
    <row r="91" spans="1:22" x14ac:dyDescent="0.2">
      <c r="A91" s="59">
        <v>1048.8294677734375</v>
      </c>
      <c r="B91" s="158">
        <v>1.2828587010615606</v>
      </c>
      <c r="C91" s="64">
        <f t="shared" si="0"/>
        <v>1.2332000000000001</v>
      </c>
      <c r="D91" s="64">
        <f t="shared" si="1"/>
        <v>0.75901671260563774</v>
      </c>
      <c r="E91" s="64">
        <f t="shared" si="2"/>
        <v>0.75172203596464493</v>
      </c>
      <c r="F91" s="64">
        <f t="shared" si="3"/>
        <v>1.0606522401706786E-2</v>
      </c>
      <c r="G91" s="64"/>
      <c r="H91" s="74"/>
      <c r="I91" s="119"/>
      <c r="J91" s="119"/>
      <c r="K91" s="17"/>
      <c r="L91" s="119"/>
      <c r="M91" s="119"/>
      <c r="N91" s="85"/>
      <c r="O91" s="106"/>
      <c r="P91" s="54"/>
      <c r="Q91" s="150"/>
      <c r="R91" s="150"/>
      <c r="S91" s="150"/>
      <c r="T91" s="150"/>
      <c r="U91" s="150"/>
      <c r="V91" s="150"/>
    </row>
    <row r="92" spans="1:22" x14ac:dyDescent="0.2">
      <c r="A92" s="59">
        <v>1148.3460693359375</v>
      </c>
      <c r="B92" s="158">
        <v>1.3009587010615606</v>
      </c>
      <c r="C92" s="64">
        <f t="shared" si="0"/>
        <v>1.2513000000000001</v>
      </c>
      <c r="D92" s="64">
        <f t="shared" si="1"/>
        <v>0.76972576613335186</v>
      </c>
      <c r="E92" s="64">
        <f t="shared" si="2"/>
        <v>0.76275525754343187</v>
      </c>
      <c r="F92" s="64">
        <f t="shared" si="3"/>
        <v>1.1033221578786945E-2</v>
      </c>
      <c r="G92" s="64"/>
      <c r="H92" s="74"/>
      <c r="I92" s="119"/>
      <c r="J92" s="119"/>
      <c r="K92" s="119"/>
      <c r="L92" s="119"/>
      <c r="M92" s="119"/>
      <c r="N92" s="85"/>
      <c r="O92" s="106"/>
      <c r="P92" s="54"/>
      <c r="Q92" s="150"/>
      <c r="R92" s="150"/>
      <c r="S92" s="150"/>
      <c r="T92" s="150"/>
      <c r="U92" s="150"/>
      <c r="V92" s="150"/>
    </row>
    <row r="93" spans="1:22" x14ac:dyDescent="0.2">
      <c r="A93" s="59">
        <v>1259.0491943359375</v>
      </c>
      <c r="B93" s="158">
        <v>1.3186587010615605</v>
      </c>
      <c r="C93" s="64">
        <f t="shared" si="0"/>
        <v>1.2689999999999999</v>
      </c>
      <c r="D93" s="64">
        <f t="shared" si="1"/>
        <v>0.78019815549470761</v>
      </c>
      <c r="E93" s="64">
        <f t="shared" si="2"/>
        <v>0.77354465102103009</v>
      </c>
      <c r="F93" s="64">
        <f t="shared" si="3"/>
        <v>1.0789393477598219E-2</v>
      </c>
      <c r="G93" s="64"/>
      <c r="H93" s="74"/>
      <c r="I93" s="119"/>
      <c r="J93" s="119"/>
      <c r="K93" s="119"/>
      <c r="L93" s="119"/>
      <c r="M93" s="119"/>
      <c r="N93" s="85"/>
      <c r="O93" s="106"/>
      <c r="P93" s="54"/>
      <c r="Q93" s="150"/>
      <c r="R93" s="150"/>
      <c r="S93" s="150"/>
      <c r="T93" s="150"/>
      <c r="U93" s="150"/>
      <c r="V93" s="150"/>
    </row>
    <row r="94" spans="1:22" x14ac:dyDescent="0.2">
      <c r="A94" s="59">
        <v>1378.9620361328125</v>
      </c>
      <c r="B94" s="158">
        <v>1.3361587010615605</v>
      </c>
      <c r="C94" s="64">
        <f t="shared" si="0"/>
        <v>1.2865</v>
      </c>
      <c r="D94" s="64">
        <f t="shared" si="1"/>
        <v>0.79055221277288423</v>
      </c>
      <c r="E94" s="64">
        <f t="shared" si="2"/>
        <v>0.78421213044803406</v>
      </c>
      <c r="F94" s="64">
        <f t="shared" si="3"/>
        <v>1.0667479427003967E-2</v>
      </c>
      <c r="G94" s="64"/>
      <c r="H94" s="74"/>
      <c r="I94" s="119"/>
      <c r="J94" s="119"/>
      <c r="K94" s="119"/>
      <c r="L94" s="119"/>
      <c r="M94" s="119"/>
      <c r="N94" s="85"/>
      <c r="O94" s="106"/>
      <c r="P94" s="54"/>
      <c r="Q94" s="150"/>
      <c r="R94" s="150"/>
      <c r="S94" s="150"/>
      <c r="T94" s="150"/>
      <c r="U94" s="150"/>
      <c r="V94" s="150"/>
    </row>
    <row r="95" spans="1:22" x14ac:dyDescent="0.2">
      <c r="A95" s="59">
        <v>1508.8658447265625</v>
      </c>
      <c r="B95" s="158">
        <v>1.3521587010615606</v>
      </c>
      <c r="C95" s="64">
        <f t="shared" si="0"/>
        <v>1.3025</v>
      </c>
      <c r="D95" s="64">
        <f t="shared" si="1"/>
        <v>0.80001877942721722</v>
      </c>
      <c r="E95" s="64">
        <f t="shared" si="2"/>
        <v>0.79396525449558053</v>
      </c>
      <c r="F95" s="64">
        <f t="shared" si="3"/>
        <v>9.7531240475464687E-3</v>
      </c>
      <c r="G95" s="64"/>
      <c r="H95" s="74"/>
      <c r="I95" s="119"/>
      <c r="J95" s="119"/>
      <c r="K95" s="119"/>
      <c r="L95" s="119"/>
      <c r="M95" s="119"/>
      <c r="N95" s="85"/>
      <c r="O95" s="106"/>
      <c r="P95" s="54"/>
      <c r="Q95" s="150"/>
      <c r="R95" s="150"/>
      <c r="S95" s="150"/>
      <c r="T95" s="150"/>
      <c r="U95" s="150"/>
      <c r="V95" s="150"/>
    </row>
    <row r="96" spans="1:22" x14ac:dyDescent="0.2">
      <c r="A96" s="59">
        <v>1646.962646484375</v>
      </c>
      <c r="B96" s="158">
        <v>1.3676587010615606</v>
      </c>
      <c r="C96" s="64">
        <f t="shared" si="0"/>
        <v>1.3180000000000001</v>
      </c>
      <c r="D96" s="64">
        <f t="shared" si="1"/>
        <v>0.80918951587360222</v>
      </c>
      <c r="E96" s="64">
        <f t="shared" si="2"/>
        <v>0.80341359341664131</v>
      </c>
      <c r="F96" s="64">
        <f t="shared" si="3"/>
        <v>9.4483389210607838E-3</v>
      </c>
      <c r="G96" s="64"/>
      <c r="H96" s="74"/>
      <c r="I96" s="119"/>
      <c r="J96" s="119"/>
      <c r="K96" s="119"/>
      <c r="L96" s="119"/>
      <c r="M96" s="119"/>
      <c r="N96" s="85"/>
      <c r="O96" s="106"/>
      <c r="P96" s="54"/>
      <c r="Q96" s="150"/>
      <c r="R96" s="150"/>
      <c r="S96" s="150"/>
      <c r="T96" s="150"/>
      <c r="U96" s="150"/>
      <c r="V96" s="150"/>
    </row>
    <row r="97" spans="1:22" x14ac:dyDescent="0.2">
      <c r="A97" s="59">
        <v>1809.6121826171875</v>
      </c>
      <c r="B97" s="158">
        <v>1.3838587010615606</v>
      </c>
      <c r="C97" s="64">
        <f t="shared" si="0"/>
        <v>1.3342000000000001</v>
      </c>
      <c r="D97" s="64">
        <f t="shared" si="1"/>
        <v>0.81877441461111433</v>
      </c>
      <c r="E97" s="64">
        <f t="shared" si="2"/>
        <v>0.81328863151478203</v>
      </c>
      <c r="F97" s="64">
        <f t="shared" si="3"/>
        <v>9.8750380981407204E-3</v>
      </c>
      <c r="G97" s="64"/>
      <c r="H97" s="74"/>
      <c r="I97" s="119"/>
      <c r="J97" s="119"/>
      <c r="K97" s="119"/>
      <c r="L97" s="119"/>
      <c r="M97" s="119"/>
      <c r="N97" s="85"/>
      <c r="O97" s="106"/>
      <c r="P97" s="54"/>
      <c r="Q97" s="150"/>
      <c r="R97" s="150"/>
      <c r="S97" s="150"/>
      <c r="T97" s="150"/>
      <c r="U97" s="150"/>
      <c r="V97" s="150"/>
    </row>
    <row r="98" spans="1:22" x14ac:dyDescent="0.2">
      <c r="A98" s="59">
        <v>1978.09619140625</v>
      </c>
      <c r="B98" s="158">
        <v>1.3986587010615605</v>
      </c>
      <c r="C98" s="64">
        <f t="shared" si="0"/>
        <v>1.349</v>
      </c>
      <c r="D98" s="64">
        <f t="shared" si="1"/>
        <v>0.82753098876637221</v>
      </c>
      <c r="E98" s="64">
        <f t="shared" si="2"/>
        <v>0.82231027125876255</v>
      </c>
      <c r="F98" s="64">
        <f t="shared" si="3"/>
        <v>9.021639743980514E-3</v>
      </c>
      <c r="G98" s="64"/>
      <c r="H98" s="74"/>
      <c r="I98" s="119"/>
      <c r="J98" s="119"/>
      <c r="K98" s="119"/>
      <c r="L98" s="119"/>
      <c r="M98" s="119"/>
      <c r="N98" s="85"/>
      <c r="O98" s="106"/>
      <c r="P98" s="54"/>
      <c r="Q98" s="150"/>
      <c r="R98" s="150"/>
      <c r="S98" s="150"/>
      <c r="T98" s="150"/>
      <c r="U98" s="150"/>
      <c r="V98" s="150"/>
    </row>
    <row r="99" spans="1:22" x14ac:dyDescent="0.2">
      <c r="A99" s="59">
        <v>2157.66943359375</v>
      </c>
      <c r="B99" s="158">
        <v>1.4123587010615606</v>
      </c>
      <c r="C99" s="64">
        <f t="shared" si="0"/>
        <v>1.3627</v>
      </c>
      <c r="D99" s="64">
        <f t="shared" si="1"/>
        <v>0.83563673646414482</v>
      </c>
      <c r="E99" s="64">
        <f t="shared" si="2"/>
        <v>0.83066138372447418</v>
      </c>
      <c r="F99" s="64">
        <f t="shared" si="3"/>
        <v>8.3511124657116298E-3</v>
      </c>
      <c r="G99" s="64"/>
      <c r="H99" s="74"/>
      <c r="I99" s="119"/>
      <c r="J99" s="119"/>
      <c r="K99" s="119"/>
      <c r="L99" s="119"/>
      <c r="M99" s="119"/>
      <c r="N99" s="85"/>
      <c r="O99" s="106"/>
      <c r="P99" s="54"/>
      <c r="Q99" s="150"/>
      <c r="R99" s="150"/>
      <c r="S99" s="150"/>
      <c r="T99" s="150"/>
      <c r="U99" s="150"/>
      <c r="V99" s="150"/>
    </row>
    <row r="100" spans="1:22" x14ac:dyDescent="0.2">
      <c r="A100" s="59">
        <v>2367.843017578125</v>
      </c>
      <c r="B100" s="158">
        <v>1.4266587010615606</v>
      </c>
      <c r="C100" s="64">
        <f t="shared" si="0"/>
        <v>1.377</v>
      </c>
      <c r="D100" s="64">
        <f t="shared" si="1"/>
        <v>0.84409748041145483</v>
      </c>
      <c r="E100" s="64">
        <f t="shared" si="2"/>
        <v>0.8393782383419689</v>
      </c>
      <c r="F100" s="64">
        <f t="shared" si="3"/>
        <v>8.7168546174947181E-3</v>
      </c>
      <c r="G100" s="64"/>
      <c r="H100" s="74"/>
      <c r="I100" s="119"/>
      <c r="J100" s="119"/>
      <c r="K100" s="119"/>
      <c r="L100" s="119"/>
      <c r="M100" s="119"/>
      <c r="N100" s="85"/>
      <c r="O100" s="106"/>
      <c r="P100" s="54"/>
      <c r="Q100" s="150"/>
      <c r="R100" s="150"/>
      <c r="S100" s="150"/>
      <c r="T100" s="150"/>
      <c r="U100" s="150"/>
      <c r="V100" s="150"/>
    </row>
    <row r="101" spans="1:22" x14ac:dyDescent="0.2">
      <c r="A101" s="59">
        <v>2587.8046875</v>
      </c>
      <c r="B101" s="158">
        <v>1.4404587010615606</v>
      </c>
      <c r="C101" s="64">
        <f t="shared" si="0"/>
        <v>1.3908</v>
      </c>
      <c r="D101" s="64">
        <f t="shared" si="1"/>
        <v>0.85226239415081695</v>
      </c>
      <c r="E101" s="64">
        <f t="shared" si="2"/>
        <v>0.84779030783297771</v>
      </c>
      <c r="F101" s="64">
        <f t="shared" si="3"/>
        <v>8.4120694910088112E-3</v>
      </c>
      <c r="G101" s="64"/>
      <c r="H101" s="74"/>
      <c r="I101" s="119"/>
      <c r="J101" s="119"/>
      <c r="K101" s="119"/>
      <c r="L101" s="119"/>
      <c r="M101" s="119"/>
      <c r="N101" s="85"/>
      <c r="O101" s="106"/>
      <c r="P101" s="54"/>
      <c r="Q101" s="150"/>
      <c r="R101" s="150"/>
      <c r="S101" s="150"/>
      <c r="T101" s="150"/>
      <c r="U101" s="150"/>
      <c r="V101" s="150"/>
    </row>
    <row r="102" spans="1:22" x14ac:dyDescent="0.2">
      <c r="A102" s="59">
        <v>2827.594970703125</v>
      </c>
      <c r="B102" s="158">
        <v>1.4538587010615605</v>
      </c>
      <c r="C102" s="64">
        <f t="shared" si="0"/>
        <v>1.4041999999999999</v>
      </c>
      <c r="D102" s="64">
        <f t="shared" si="1"/>
        <v>0.8601906437238207</v>
      </c>
      <c r="E102" s="64">
        <f t="shared" si="2"/>
        <v>0.85595854922279779</v>
      </c>
      <c r="F102" s="64">
        <f t="shared" si="3"/>
        <v>8.1682413898200856E-3</v>
      </c>
      <c r="G102" s="64"/>
      <c r="H102" s="74"/>
      <c r="I102" s="119"/>
      <c r="J102" s="119"/>
      <c r="K102" s="119"/>
      <c r="L102" s="119"/>
      <c r="M102" s="119"/>
      <c r="N102" s="85"/>
      <c r="O102" s="106"/>
      <c r="P102" s="54"/>
      <c r="Q102" s="150"/>
      <c r="R102" s="150"/>
      <c r="S102" s="150"/>
      <c r="T102" s="150"/>
      <c r="U102" s="150"/>
      <c r="V102" s="150"/>
    </row>
    <row r="103" spans="1:22" x14ac:dyDescent="0.2">
      <c r="A103" s="59">
        <v>3097.42578125</v>
      </c>
      <c r="B103" s="158">
        <v>1.4678587010615605</v>
      </c>
      <c r="C103" s="64">
        <f t="shared" si="0"/>
        <v>1.4181999999999999</v>
      </c>
      <c r="D103" s="64">
        <f t="shared" si="1"/>
        <v>0.86847388954636195</v>
      </c>
      <c r="E103" s="64">
        <f t="shared" si="2"/>
        <v>0.86449253276440097</v>
      </c>
      <c r="F103" s="64">
        <f t="shared" si="3"/>
        <v>8.533983541603174E-3</v>
      </c>
      <c r="G103" s="64"/>
      <c r="H103" s="74"/>
      <c r="I103" s="119"/>
      <c r="J103" s="119"/>
      <c r="K103" s="119"/>
      <c r="L103" s="119"/>
      <c r="M103" s="119"/>
      <c r="N103" s="85"/>
      <c r="O103" s="106"/>
      <c r="P103" s="54"/>
      <c r="Q103" s="150"/>
      <c r="R103" s="150"/>
      <c r="S103" s="150"/>
      <c r="T103" s="150"/>
      <c r="U103" s="150"/>
      <c r="V103" s="150"/>
    </row>
    <row r="104" spans="1:22" x14ac:dyDescent="0.2">
      <c r="A104" s="59">
        <v>3385.851806640625</v>
      </c>
      <c r="B104" s="158">
        <v>1.4809587010615606</v>
      </c>
      <c r="C104" s="64">
        <f t="shared" si="0"/>
        <v>1.4313</v>
      </c>
      <c r="D104" s="64">
        <f t="shared" si="1"/>
        <v>0.87622464099459718</v>
      </c>
      <c r="E104" s="64">
        <f t="shared" si="2"/>
        <v>0.87247790307832973</v>
      </c>
      <c r="F104" s="64">
        <f t="shared" si="3"/>
        <v>7.9853703139287635E-3</v>
      </c>
      <c r="G104" s="64"/>
      <c r="H104" s="74"/>
      <c r="I104" s="119"/>
      <c r="J104" s="119"/>
      <c r="K104" s="119"/>
      <c r="L104" s="119"/>
      <c r="M104" s="119"/>
      <c r="N104" s="85"/>
      <c r="O104" s="106"/>
      <c r="P104" s="54"/>
      <c r="Q104" s="150"/>
      <c r="R104" s="150"/>
      <c r="S104" s="150"/>
      <c r="T104" s="150"/>
      <c r="U104" s="150"/>
      <c r="V104" s="150"/>
    </row>
    <row r="105" spans="1:22" x14ac:dyDescent="0.2">
      <c r="A105" s="59">
        <v>3706.689697265625</v>
      </c>
      <c r="B105" s="158">
        <v>1.4943587010615607</v>
      </c>
      <c r="C105" s="64">
        <f t="shared" si="0"/>
        <v>1.4447000000000001</v>
      </c>
      <c r="D105" s="64">
        <f t="shared" si="1"/>
        <v>0.88415289056760105</v>
      </c>
      <c r="E105" s="64">
        <f t="shared" si="2"/>
        <v>0.88064614446814993</v>
      </c>
      <c r="F105" s="64">
        <f t="shared" si="3"/>
        <v>8.1682413898201967E-3</v>
      </c>
      <c r="G105" s="64"/>
      <c r="H105" s="74"/>
      <c r="I105" s="119"/>
      <c r="J105" s="119"/>
      <c r="K105" s="119"/>
      <c r="L105" s="119"/>
      <c r="M105" s="119"/>
      <c r="N105" s="85"/>
      <c r="O105" s="106"/>
      <c r="P105" s="54"/>
      <c r="Q105" s="150"/>
      <c r="R105" s="150"/>
      <c r="S105" s="150"/>
      <c r="T105" s="150"/>
      <c r="U105" s="150"/>
      <c r="V105" s="150"/>
    </row>
    <row r="106" spans="1:22" x14ac:dyDescent="0.2">
      <c r="A106" s="59">
        <v>4056.8125</v>
      </c>
      <c r="B106" s="158">
        <v>1.5072587010615606</v>
      </c>
      <c r="C106" s="64">
        <f t="shared" si="0"/>
        <v>1.4576</v>
      </c>
      <c r="D106" s="64">
        <f t="shared" si="1"/>
        <v>0.89178530993265681</v>
      </c>
      <c r="E106" s="64">
        <f t="shared" si="2"/>
        <v>0.88850960073148422</v>
      </c>
      <c r="F106" s="64">
        <f t="shared" si="3"/>
        <v>7.8634562633342897E-3</v>
      </c>
      <c r="G106" s="64"/>
      <c r="H106" s="74"/>
      <c r="I106" s="119"/>
      <c r="J106" s="119"/>
      <c r="K106" s="119"/>
      <c r="L106" s="119"/>
      <c r="M106" s="119"/>
      <c r="N106" s="85"/>
      <c r="O106" s="106"/>
      <c r="P106" s="54"/>
      <c r="Q106" s="150"/>
      <c r="R106" s="150"/>
      <c r="S106" s="150"/>
      <c r="T106" s="150"/>
      <c r="U106" s="150"/>
      <c r="V106" s="150"/>
    </row>
    <row r="107" spans="1:22" x14ac:dyDescent="0.2">
      <c r="A107" s="59">
        <v>4435.58837890625</v>
      </c>
      <c r="B107" s="158">
        <v>1.5202587010615605</v>
      </c>
      <c r="C107" s="64">
        <f t="shared" si="0"/>
        <v>1.4705999999999999</v>
      </c>
      <c r="D107" s="64">
        <f t="shared" si="1"/>
        <v>0.89947689533930231</v>
      </c>
      <c r="E107" s="64">
        <f t="shared" si="2"/>
        <v>0.89643401402011569</v>
      </c>
      <c r="F107" s="64">
        <f t="shared" si="3"/>
        <v>7.9244132886314711E-3</v>
      </c>
      <c r="G107" s="64"/>
      <c r="H107" s="74"/>
      <c r="I107" s="119"/>
      <c r="J107" s="119"/>
      <c r="K107" s="119"/>
      <c r="L107" s="119"/>
      <c r="M107" s="119"/>
      <c r="N107" s="85"/>
      <c r="O107" s="106"/>
      <c r="P107" s="54"/>
      <c r="Q107" s="150"/>
      <c r="R107" s="150"/>
      <c r="S107" s="150"/>
      <c r="T107" s="150"/>
      <c r="U107" s="150"/>
      <c r="V107" s="150"/>
    </row>
    <row r="108" spans="1:22" x14ac:dyDescent="0.2">
      <c r="A108" s="59">
        <v>4846.455078125</v>
      </c>
      <c r="B108" s="158">
        <v>1.5324587010615605</v>
      </c>
      <c r="C108" s="64">
        <f t="shared" si="0"/>
        <v>1.4827999999999999</v>
      </c>
      <c r="D108" s="64">
        <f t="shared" si="1"/>
        <v>0.90669515241323118</v>
      </c>
      <c r="E108" s="64">
        <f t="shared" si="2"/>
        <v>0.90387077110636993</v>
      </c>
      <c r="F108" s="64">
        <f t="shared" si="3"/>
        <v>7.436757086254242E-3</v>
      </c>
      <c r="G108" s="64"/>
      <c r="H108" s="74"/>
      <c r="I108" s="119"/>
      <c r="J108" s="119"/>
      <c r="K108" s="119"/>
      <c r="L108" s="119"/>
      <c r="M108" s="119"/>
      <c r="N108" s="85"/>
      <c r="O108" s="106"/>
      <c r="P108" s="54"/>
      <c r="Q108" s="150"/>
      <c r="R108" s="150"/>
      <c r="S108" s="150"/>
      <c r="T108" s="150"/>
      <c r="U108" s="150"/>
      <c r="V108" s="150"/>
    </row>
    <row r="109" spans="1:22" x14ac:dyDescent="0.2">
      <c r="A109" s="59">
        <v>5304.5751953125</v>
      </c>
      <c r="B109" s="158">
        <v>1.5454587010615606</v>
      </c>
      <c r="C109" s="64">
        <f t="shared" si="0"/>
        <v>1.4958</v>
      </c>
      <c r="D109" s="64">
        <f t="shared" si="1"/>
        <v>0.91438673781987667</v>
      </c>
      <c r="E109" s="64">
        <f t="shared" si="2"/>
        <v>0.91179518439500151</v>
      </c>
      <c r="F109" s="64">
        <f t="shared" si="3"/>
        <v>7.9244132886315821E-3</v>
      </c>
      <c r="G109" s="64"/>
      <c r="H109" s="74"/>
      <c r="I109" s="119"/>
      <c r="J109" s="119"/>
      <c r="K109" s="119"/>
      <c r="L109" s="119"/>
      <c r="M109" s="119"/>
      <c r="N109" s="85"/>
      <c r="O109" s="106"/>
      <c r="P109" s="54"/>
      <c r="Q109" s="150"/>
      <c r="R109" s="150"/>
      <c r="S109" s="150"/>
      <c r="T109" s="150"/>
      <c r="U109" s="150"/>
      <c r="V109" s="150"/>
    </row>
    <row r="110" spans="1:22" x14ac:dyDescent="0.2">
      <c r="A110" s="59">
        <v>5803.01416015625</v>
      </c>
      <c r="B110" s="158">
        <v>1.5559587010615605</v>
      </c>
      <c r="C110" s="64">
        <f t="shared" si="0"/>
        <v>1.5063</v>
      </c>
      <c r="D110" s="64">
        <f t="shared" si="1"/>
        <v>0.92059917218678267</v>
      </c>
      <c r="E110" s="64">
        <f t="shared" si="2"/>
        <v>0.91819567205120389</v>
      </c>
      <c r="F110" s="64">
        <f t="shared" si="3"/>
        <v>6.4004876562023805E-3</v>
      </c>
      <c r="G110" s="64"/>
      <c r="H110" s="74"/>
      <c r="I110" s="119"/>
      <c r="J110" s="119"/>
      <c r="K110" s="119"/>
      <c r="L110" s="119"/>
      <c r="M110" s="119"/>
      <c r="N110" s="85"/>
      <c r="O110" s="106"/>
      <c r="P110" s="54"/>
      <c r="Q110" s="150"/>
      <c r="R110" s="150"/>
      <c r="S110" s="150"/>
      <c r="T110" s="150"/>
      <c r="U110" s="150"/>
      <c r="V110" s="150"/>
    </row>
    <row r="111" spans="1:22" x14ac:dyDescent="0.2">
      <c r="A111" s="59">
        <v>6354.64404296875</v>
      </c>
      <c r="B111" s="158">
        <v>1.5670587010615606</v>
      </c>
      <c r="C111" s="64">
        <f t="shared" si="0"/>
        <v>1.5174000000000001</v>
      </c>
      <c r="D111" s="64">
        <f t="shared" si="1"/>
        <v>0.92716660280322616</v>
      </c>
      <c r="E111" s="64">
        <f t="shared" si="2"/>
        <v>0.92496190185918925</v>
      </c>
      <c r="F111" s="64">
        <f t="shared" si="3"/>
        <v>6.7662298079853578E-3</v>
      </c>
      <c r="G111" s="64"/>
      <c r="H111" s="74"/>
      <c r="I111" s="119"/>
      <c r="J111" s="119"/>
      <c r="K111" s="119"/>
      <c r="L111" s="119"/>
      <c r="M111" s="119"/>
      <c r="N111" s="85"/>
      <c r="O111" s="106"/>
      <c r="P111" s="54"/>
      <c r="Q111" s="150"/>
      <c r="R111" s="150"/>
      <c r="S111" s="150"/>
      <c r="T111" s="150"/>
      <c r="U111" s="150"/>
      <c r="V111" s="150"/>
    </row>
    <row r="112" spans="1:22" x14ac:dyDescent="0.2">
      <c r="A112" s="59">
        <v>6942.5107421875</v>
      </c>
      <c r="B112" s="158">
        <v>1.5777587010615606</v>
      </c>
      <c r="C112" s="64">
        <f t="shared" si="0"/>
        <v>1.5281</v>
      </c>
      <c r="D112" s="64">
        <f t="shared" si="1"/>
        <v>0.93349736925331128</v>
      </c>
      <c r="E112" s="64">
        <f t="shared" si="2"/>
        <v>0.93148430356598599</v>
      </c>
      <c r="F112" s="64">
        <f t="shared" si="3"/>
        <v>6.5224017067967432E-3</v>
      </c>
      <c r="G112" s="64"/>
      <c r="H112" s="74"/>
      <c r="I112" s="119"/>
      <c r="J112" s="119"/>
      <c r="K112" s="119"/>
      <c r="L112" s="119"/>
      <c r="M112" s="119"/>
      <c r="N112" s="85"/>
      <c r="O112" s="106"/>
      <c r="P112" s="54"/>
      <c r="Q112" s="150"/>
      <c r="R112" s="150"/>
      <c r="S112" s="150"/>
      <c r="T112" s="150"/>
      <c r="U112" s="150"/>
      <c r="V112" s="150"/>
    </row>
    <row r="113" spans="1:22" x14ac:dyDescent="0.2">
      <c r="A113" s="59">
        <v>7602.466796875</v>
      </c>
      <c r="B113" s="158">
        <v>1.5883587010615605</v>
      </c>
      <c r="C113" s="64">
        <f t="shared" si="0"/>
        <v>1.5387</v>
      </c>
      <c r="D113" s="64">
        <f t="shared" si="1"/>
        <v>0.93976896966180679</v>
      </c>
      <c r="E113" s="64">
        <f t="shared" si="2"/>
        <v>0.93794574824748544</v>
      </c>
      <c r="F113" s="64">
        <f t="shared" si="3"/>
        <v>6.4614446814994508E-3</v>
      </c>
      <c r="G113" s="64"/>
      <c r="H113" s="74"/>
      <c r="I113" s="119"/>
      <c r="J113" s="119"/>
      <c r="K113" s="119"/>
      <c r="L113" s="119"/>
      <c r="M113" s="119"/>
      <c r="N113" s="85"/>
      <c r="O113" s="106"/>
      <c r="P113" s="54"/>
      <c r="Q113" s="150"/>
      <c r="R113" s="150"/>
      <c r="S113" s="150"/>
      <c r="T113" s="150"/>
      <c r="U113" s="150"/>
      <c r="V113" s="150"/>
    </row>
    <row r="114" spans="1:22" x14ac:dyDescent="0.2">
      <c r="A114" s="59">
        <v>8312.4638671875</v>
      </c>
      <c r="B114" s="158">
        <v>1.5983587010615605</v>
      </c>
      <c r="C114" s="64">
        <f t="shared" si="0"/>
        <v>1.5487</v>
      </c>
      <c r="D114" s="64">
        <f t="shared" si="1"/>
        <v>0.9456855738207649</v>
      </c>
      <c r="E114" s="64">
        <f t="shared" si="2"/>
        <v>0.94404145077720203</v>
      </c>
      <c r="F114" s="64">
        <f t="shared" si="3"/>
        <v>6.0957025297165846E-3</v>
      </c>
      <c r="G114" s="64"/>
      <c r="H114" s="74"/>
      <c r="I114" s="119"/>
      <c r="J114" s="119"/>
      <c r="K114" s="119"/>
      <c r="L114" s="119"/>
      <c r="M114" s="119"/>
      <c r="N114" s="85"/>
      <c r="O114" s="106"/>
      <c r="P114" s="54"/>
      <c r="Q114" s="150"/>
      <c r="R114" s="150"/>
      <c r="S114" s="150"/>
      <c r="T114" s="150"/>
      <c r="U114" s="150"/>
      <c r="V114" s="150"/>
    </row>
    <row r="115" spans="1:22" x14ac:dyDescent="0.2">
      <c r="A115" s="59">
        <v>9092.8671875</v>
      </c>
      <c r="B115" s="158">
        <v>1.6079587010615606</v>
      </c>
      <c r="C115" s="64">
        <f t="shared" si="0"/>
        <v>1.5583</v>
      </c>
      <c r="D115" s="64">
        <f t="shared" si="1"/>
        <v>0.95136551381336465</v>
      </c>
      <c r="E115" s="64">
        <f t="shared" si="2"/>
        <v>0.94989332520572989</v>
      </c>
      <c r="F115" s="64">
        <f t="shared" si="3"/>
        <v>5.851874428527859E-3</v>
      </c>
      <c r="G115" s="64"/>
      <c r="H115" s="74"/>
      <c r="I115" s="119"/>
      <c r="J115" s="119"/>
      <c r="K115" s="119"/>
      <c r="L115" s="119"/>
      <c r="M115" s="119"/>
      <c r="N115" s="85"/>
      <c r="O115" s="106"/>
      <c r="P115" s="54"/>
      <c r="Q115" s="150"/>
      <c r="R115" s="150"/>
      <c r="S115" s="150"/>
      <c r="T115" s="150"/>
      <c r="U115" s="150"/>
      <c r="V115" s="150"/>
    </row>
    <row r="116" spans="1:22" x14ac:dyDescent="0.2">
      <c r="A116" s="59">
        <v>9952.337890625</v>
      </c>
      <c r="B116" s="158">
        <v>1.6168587010615605</v>
      </c>
      <c r="C116" s="64">
        <f t="shared" si="0"/>
        <v>1.5671999999999999</v>
      </c>
      <c r="D116" s="64">
        <f t="shared" si="1"/>
        <v>0.95663129151483728</v>
      </c>
      <c r="E116" s="64">
        <f t="shared" si="2"/>
        <v>0.95531850045717759</v>
      </c>
      <c r="F116" s="64">
        <f t="shared" si="3"/>
        <v>5.4251752514477003E-3</v>
      </c>
      <c r="G116" s="64"/>
      <c r="H116" s="74"/>
      <c r="I116" s="119"/>
      <c r="J116" s="119"/>
      <c r="K116" s="119"/>
      <c r="L116" s="119"/>
      <c r="M116" s="119"/>
      <c r="N116" s="85"/>
      <c r="O116" s="106"/>
      <c r="P116" s="54"/>
      <c r="Q116" s="150"/>
      <c r="R116" s="150"/>
      <c r="S116" s="150"/>
      <c r="T116" s="150"/>
      <c r="U116" s="150"/>
      <c r="V116" s="150"/>
    </row>
    <row r="117" spans="1:22" x14ac:dyDescent="0.2">
      <c r="A117" s="59">
        <v>10890.92578125</v>
      </c>
      <c r="B117" s="158">
        <v>1.6254587010615607</v>
      </c>
      <c r="C117" s="64">
        <f t="shared" si="0"/>
        <v>1.5758000000000001</v>
      </c>
      <c r="D117" s="64">
        <f t="shared" si="1"/>
        <v>0.96171957109154127</v>
      </c>
      <c r="E117" s="64">
        <f t="shared" si="2"/>
        <v>0.96056080463273397</v>
      </c>
      <c r="F117" s="64">
        <f t="shared" si="3"/>
        <v>5.2423041755563782E-3</v>
      </c>
      <c r="G117" s="64"/>
      <c r="H117" s="74"/>
      <c r="I117" s="119"/>
      <c r="J117" s="119"/>
      <c r="K117" s="119"/>
      <c r="L117" s="119"/>
      <c r="M117" s="119"/>
      <c r="N117" s="85"/>
      <c r="O117" s="106"/>
      <c r="P117" s="54"/>
      <c r="Q117" s="150"/>
      <c r="R117" s="150"/>
      <c r="S117" s="150"/>
      <c r="T117" s="150"/>
      <c r="U117" s="150"/>
      <c r="V117" s="150"/>
    </row>
    <row r="118" spans="1:22" x14ac:dyDescent="0.2">
      <c r="A118" s="59">
        <v>11893.7421875</v>
      </c>
      <c r="B118" s="158">
        <v>1.6331587010615605</v>
      </c>
      <c r="C118" s="64">
        <f t="shared" si="0"/>
        <v>1.5834999999999999</v>
      </c>
      <c r="D118" s="64">
        <f t="shared" si="1"/>
        <v>0.9662753562939389</v>
      </c>
      <c r="E118" s="64">
        <f t="shared" si="2"/>
        <v>0.9652544955806156</v>
      </c>
      <c r="F118" s="64">
        <f t="shared" si="3"/>
        <v>4.6936909478816347E-3</v>
      </c>
      <c r="G118" s="64"/>
      <c r="H118" s="74"/>
      <c r="I118" s="119"/>
      <c r="J118" s="119"/>
      <c r="K118" s="119"/>
      <c r="L118" s="119"/>
      <c r="M118" s="119"/>
      <c r="N118" s="85"/>
      <c r="O118" s="106"/>
      <c r="P118" s="54"/>
      <c r="Q118" s="150"/>
      <c r="R118" s="150"/>
      <c r="S118" s="150"/>
      <c r="T118" s="150"/>
      <c r="U118" s="150"/>
      <c r="V118" s="150"/>
    </row>
    <row r="119" spans="1:22" x14ac:dyDescent="0.2">
      <c r="A119" s="59">
        <v>12993.474609375</v>
      </c>
      <c r="B119" s="158">
        <v>1.6403587010615606</v>
      </c>
      <c r="C119" s="64">
        <f t="shared" si="0"/>
        <v>1.5907</v>
      </c>
      <c r="D119" s="64">
        <f t="shared" si="1"/>
        <v>0.97053531128838877</v>
      </c>
      <c r="E119" s="64">
        <f t="shared" si="2"/>
        <v>0.96964340140201155</v>
      </c>
      <c r="F119" s="64">
        <f t="shared" si="3"/>
        <v>4.3889058213959498E-3</v>
      </c>
      <c r="G119" s="64"/>
      <c r="H119" s="74"/>
      <c r="I119" s="119"/>
      <c r="J119" s="119"/>
      <c r="K119" s="119"/>
      <c r="L119" s="119"/>
      <c r="M119" s="119"/>
      <c r="N119" s="85"/>
      <c r="O119" s="106"/>
      <c r="P119" s="54"/>
      <c r="Q119" s="150"/>
      <c r="R119" s="150"/>
      <c r="S119" s="150"/>
      <c r="T119" s="150"/>
      <c r="U119" s="150"/>
      <c r="V119" s="150"/>
    </row>
    <row r="120" spans="1:22" x14ac:dyDescent="0.2">
      <c r="A120" s="59">
        <v>14291.7177734375</v>
      </c>
      <c r="B120" s="158">
        <v>1.6473587010615605</v>
      </c>
      <c r="C120" s="64">
        <f t="shared" si="0"/>
        <v>1.5976999999999999</v>
      </c>
      <c r="D120" s="64">
        <f t="shared" si="1"/>
        <v>0.97467693419965939</v>
      </c>
      <c r="E120" s="64">
        <f t="shared" si="2"/>
        <v>0.97391039317281303</v>
      </c>
      <c r="F120" s="64">
        <f t="shared" si="3"/>
        <v>4.266991770801476E-3</v>
      </c>
      <c r="G120" s="64"/>
      <c r="H120" s="74"/>
      <c r="I120" s="119"/>
      <c r="J120" s="119"/>
      <c r="K120" s="119"/>
      <c r="L120" s="119"/>
      <c r="M120" s="119"/>
      <c r="N120" s="85"/>
      <c r="O120" s="106"/>
      <c r="P120" s="54"/>
      <c r="Q120" s="150"/>
      <c r="R120" s="150"/>
      <c r="S120" s="150"/>
      <c r="T120" s="150"/>
      <c r="U120" s="150"/>
      <c r="V120" s="150"/>
    </row>
    <row r="121" spans="1:22" x14ac:dyDescent="0.2">
      <c r="A121" s="59">
        <v>15593.1416015625</v>
      </c>
      <c r="B121" s="158">
        <v>1.6537587010615606</v>
      </c>
      <c r="C121" s="64">
        <f t="shared" si="0"/>
        <v>1.6041000000000001</v>
      </c>
      <c r="D121" s="64">
        <f t="shared" si="1"/>
        <v>0.97846356086139263</v>
      </c>
      <c r="E121" s="64">
        <f t="shared" si="2"/>
        <v>0.97781164279183175</v>
      </c>
      <c r="F121" s="64">
        <f t="shared" si="3"/>
        <v>3.9012496190187207E-3</v>
      </c>
      <c r="G121" s="64"/>
      <c r="H121" s="74"/>
      <c r="I121" s="119"/>
      <c r="J121" s="119"/>
      <c r="K121" s="119"/>
      <c r="L121" s="119"/>
      <c r="M121" s="119"/>
      <c r="N121" s="85"/>
      <c r="O121" s="106"/>
      <c r="P121" s="54"/>
      <c r="Q121" s="150"/>
      <c r="R121" s="150"/>
      <c r="S121" s="150"/>
      <c r="T121" s="150"/>
      <c r="U121" s="150"/>
      <c r="V121" s="150"/>
    </row>
    <row r="122" spans="1:22" x14ac:dyDescent="0.2">
      <c r="A122" s="59">
        <v>17093.26953125</v>
      </c>
      <c r="B122" s="158">
        <v>1.6595587010615607</v>
      </c>
      <c r="C122" s="64">
        <f t="shared" si="0"/>
        <v>1.6099000000000001</v>
      </c>
      <c r="D122" s="64">
        <f t="shared" si="1"/>
        <v>0.98189519127358837</v>
      </c>
      <c r="E122" s="64">
        <f t="shared" si="2"/>
        <v>0.98134715025906738</v>
      </c>
      <c r="F122" s="64">
        <f t="shared" si="3"/>
        <v>3.5355074672356324E-3</v>
      </c>
      <c r="G122" s="64"/>
      <c r="H122" s="74"/>
      <c r="I122" s="119"/>
      <c r="J122" s="119"/>
      <c r="K122" s="119"/>
      <c r="L122" s="119"/>
      <c r="M122" s="119"/>
      <c r="N122" s="85"/>
      <c r="O122" s="106"/>
      <c r="P122" s="54"/>
      <c r="Q122" s="150"/>
      <c r="R122" s="150"/>
      <c r="S122" s="150"/>
      <c r="T122" s="150"/>
      <c r="U122" s="150"/>
      <c r="V122" s="150"/>
    </row>
    <row r="123" spans="1:22" x14ac:dyDescent="0.2">
      <c r="A123" s="59">
        <v>18689.8984375</v>
      </c>
      <c r="B123" s="158">
        <v>1.6651587010615605</v>
      </c>
      <c r="C123" s="64">
        <f t="shared" si="0"/>
        <v>1.6154999999999999</v>
      </c>
      <c r="D123" s="64">
        <f t="shared" si="1"/>
        <v>0.98520848960260476</v>
      </c>
      <c r="E123" s="64">
        <f t="shared" si="2"/>
        <v>0.98476074367570854</v>
      </c>
      <c r="F123" s="64">
        <f t="shared" si="3"/>
        <v>3.4135934166411586E-3</v>
      </c>
      <c r="G123" s="64"/>
      <c r="H123" s="74"/>
      <c r="I123" s="119"/>
      <c r="J123" s="119"/>
      <c r="K123" s="119"/>
      <c r="L123" s="119"/>
      <c r="M123" s="119"/>
      <c r="N123" s="85"/>
      <c r="O123" s="106"/>
      <c r="P123" s="54"/>
      <c r="Q123" s="150"/>
      <c r="R123" s="150"/>
      <c r="S123" s="150"/>
      <c r="T123" s="150"/>
      <c r="U123" s="150"/>
      <c r="V123" s="150"/>
    </row>
    <row r="124" spans="1:22" x14ac:dyDescent="0.2">
      <c r="A124" s="59">
        <v>20388.283203125</v>
      </c>
      <c r="B124" s="158">
        <v>1.6699587010615606</v>
      </c>
      <c r="C124" s="64">
        <f t="shared" si="0"/>
        <v>1.6203000000000001</v>
      </c>
      <c r="D124" s="64">
        <f t="shared" si="1"/>
        <v>0.98804845959890475</v>
      </c>
      <c r="E124" s="64">
        <f t="shared" si="2"/>
        <v>0.98768668088997258</v>
      </c>
      <c r="F124" s="64">
        <f t="shared" si="3"/>
        <v>2.9259372142640405E-3</v>
      </c>
      <c r="G124" s="64"/>
      <c r="H124" s="74"/>
      <c r="I124" s="119"/>
      <c r="J124" s="119"/>
      <c r="K124" s="119"/>
      <c r="L124" s="119"/>
      <c r="M124" s="119"/>
      <c r="N124" s="85"/>
      <c r="O124" s="106"/>
      <c r="P124" s="54"/>
      <c r="Q124" s="150"/>
      <c r="R124" s="150"/>
      <c r="S124" s="150"/>
      <c r="T124" s="150"/>
      <c r="U124" s="150"/>
      <c r="V124" s="150"/>
    </row>
    <row r="125" spans="1:22" x14ac:dyDescent="0.2">
      <c r="A125" s="59">
        <v>22293.544921875</v>
      </c>
      <c r="B125" s="158">
        <v>1.6726587010615606</v>
      </c>
      <c r="C125" s="64">
        <f t="shared" si="0"/>
        <v>1.623</v>
      </c>
      <c r="D125" s="64">
        <f t="shared" si="1"/>
        <v>0.98964594272182338</v>
      </c>
      <c r="E125" s="64">
        <f t="shared" si="2"/>
        <v>0.98933252057299603</v>
      </c>
      <c r="F125" s="64">
        <f t="shared" si="3"/>
        <v>1.6458396830234534E-3</v>
      </c>
      <c r="G125" s="64"/>
      <c r="H125" s="74"/>
      <c r="I125" s="119"/>
      <c r="J125" s="119"/>
      <c r="K125" s="119"/>
      <c r="L125" s="119"/>
      <c r="M125" s="119"/>
      <c r="N125" s="85"/>
      <c r="O125" s="106"/>
      <c r="P125" s="54"/>
      <c r="Q125" s="150"/>
      <c r="R125" s="150"/>
      <c r="S125" s="150"/>
      <c r="T125" s="150"/>
      <c r="U125" s="150"/>
      <c r="V125" s="150"/>
    </row>
    <row r="126" spans="1:22" x14ac:dyDescent="0.2">
      <c r="A126" s="59">
        <v>24395.046875</v>
      </c>
      <c r="B126" s="158">
        <v>1.6768587010615605</v>
      </c>
      <c r="C126" s="64">
        <f t="shared" si="0"/>
        <v>1.6272</v>
      </c>
      <c r="D126" s="64">
        <f t="shared" si="1"/>
        <v>0.99213091646858576</v>
      </c>
      <c r="E126" s="64">
        <f t="shared" si="2"/>
        <v>0.99189271563547698</v>
      </c>
      <c r="F126" s="64">
        <f t="shared" si="3"/>
        <v>2.5601950624809522E-3</v>
      </c>
      <c r="G126" s="64"/>
      <c r="H126" s="74"/>
      <c r="I126" s="119"/>
      <c r="J126" s="119"/>
      <c r="K126" s="119"/>
      <c r="L126" s="119"/>
      <c r="M126" s="119"/>
      <c r="N126" s="85"/>
      <c r="O126" s="106"/>
      <c r="P126" s="54"/>
      <c r="Q126" s="150"/>
      <c r="R126" s="150"/>
      <c r="S126" s="150"/>
      <c r="T126" s="150"/>
      <c r="U126" s="150"/>
      <c r="V126" s="150"/>
    </row>
    <row r="127" spans="1:22" x14ac:dyDescent="0.2">
      <c r="A127" s="59">
        <v>26696.482421875</v>
      </c>
      <c r="B127" s="158">
        <v>1.6799587010615606</v>
      </c>
      <c r="C127" s="64">
        <f t="shared" si="0"/>
        <v>1.6303000000000001</v>
      </c>
      <c r="D127" s="64">
        <f t="shared" si="1"/>
        <v>0.99396506375786275</v>
      </c>
      <c r="E127" s="64">
        <f t="shared" si="2"/>
        <v>0.99378238341968916</v>
      </c>
      <c r="F127" s="64">
        <f t="shared" si="3"/>
        <v>1.889667784212179E-3</v>
      </c>
      <c r="G127" s="64"/>
      <c r="H127" s="74"/>
      <c r="I127" s="119"/>
      <c r="J127" s="119"/>
      <c r="K127" s="119"/>
      <c r="L127" s="119"/>
      <c r="M127" s="119"/>
      <c r="N127" s="85"/>
      <c r="O127" s="106"/>
      <c r="P127" s="54"/>
      <c r="Q127" s="150"/>
      <c r="R127" s="150"/>
      <c r="S127" s="150"/>
      <c r="T127" s="150"/>
      <c r="U127" s="150"/>
      <c r="V127" s="150"/>
    </row>
    <row r="128" spans="1:22" x14ac:dyDescent="0.2">
      <c r="A128" s="59">
        <v>29294.302734375</v>
      </c>
      <c r="B128" s="158">
        <v>1.6825587010615606</v>
      </c>
      <c r="C128" s="64">
        <f t="shared" si="0"/>
        <v>1.6329</v>
      </c>
      <c r="D128" s="64">
        <f t="shared" si="1"/>
        <v>0.99550338083919188</v>
      </c>
      <c r="E128" s="64">
        <f t="shared" si="2"/>
        <v>0.99536726607741544</v>
      </c>
      <c r="F128" s="64">
        <f t="shared" si="3"/>
        <v>1.584882657726272E-3</v>
      </c>
      <c r="G128" s="64"/>
      <c r="H128" s="74"/>
      <c r="I128" s="119"/>
      <c r="J128" s="119"/>
      <c r="K128" s="119"/>
      <c r="L128" s="119"/>
      <c r="M128" s="119"/>
      <c r="N128" s="85"/>
      <c r="O128" s="106"/>
      <c r="P128" s="54"/>
      <c r="Q128" s="150"/>
      <c r="R128" s="150"/>
      <c r="S128" s="150"/>
      <c r="T128" s="150"/>
      <c r="U128" s="150"/>
      <c r="V128" s="150"/>
    </row>
    <row r="129" spans="1:23" x14ac:dyDescent="0.2">
      <c r="A129" s="59">
        <v>31996.802734375</v>
      </c>
      <c r="B129" s="158">
        <v>1.6848587010615605</v>
      </c>
      <c r="C129" s="64">
        <f t="shared" si="0"/>
        <v>1.6352</v>
      </c>
      <c r="D129" s="64">
        <f t="shared" si="1"/>
        <v>0.99686419979575214</v>
      </c>
      <c r="E129" s="64">
        <f t="shared" si="2"/>
        <v>0.99676927765925016</v>
      </c>
      <c r="F129" s="64">
        <f t="shared" si="3"/>
        <v>1.4020115818347278E-3</v>
      </c>
      <c r="G129" s="64"/>
      <c r="H129" s="74"/>
      <c r="I129" s="119"/>
      <c r="J129" s="119"/>
      <c r="K129" s="119"/>
      <c r="L129" s="119"/>
      <c r="M129" s="119"/>
      <c r="N129" s="85"/>
      <c r="O129" s="106"/>
      <c r="P129" s="54"/>
      <c r="Q129" s="150"/>
      <c r="R129" s="150"/>
      <c r="S129" s="150"/>
      <c r="T129" s="150"/>
      <c r="U129" s="150"/>
      <c r="V129" s="150"/>
    </row>
    <row r="130" spans="1:23" x14ac:dyDescent="0.2">
      <c r="A130" s="59">
        <v>34997.22265625</v>
      </c>
      <c r="B130" s="158">
        <v>1.6864587010615606</v>
      </c>
      <c r="C130" s="64">
        <f t="shared" si="0"/>
        <v>1.6368</v>
      </c>
      <c r="D130" s="64">
        <f t="shared" si="1"/>
        <v>0.9978108564611855</v>
      </c>
      <c r="E130" s="64">
        <f t="shared" si="2"/>
        <v>0.99774459006400484</v>
      </c>
      <c r="F130" s="64">
        <f t="shared" si="3"/>
        <v>9.7531240475468017E-4</v>
      </c>
      <c r="G130" s="64"/>
      <c r="H130" s="74"/>
      <c r="I130" s="119"/>
      <c r="J130" s="119"/>
      <c r="K130" s="119"/>
      <c r="L130" s="119"/>
      <c r="M130" s="119"/>
      <c r="N130" s="85"/>
      <c r="O130" s="106"/>
      <c r="P130" s="54"/>
      <c r="Q130" s="150"/>
      <c r="R130" s="150"/>
      <c r="S130" s="150"/>
      <c r="T130" s="150"/>
      <c r="U130" s="150"/>
      <c r="V130" s="150"/>
    </row>
    <row r="131" spans="1:23" x14ac:dyDescent="0.2">
      <c r="A131" s="59">
        <v>38286.4140625</v>
      </c>
      <c r="B131" s="158">
        <v>1.6876587010615605</v>
      </c>
      <c r="C131" s="64">
        <f t="shared" si="0"/>
        <v>1.6379999999999999</v>
      </c>
      <c r="D131" s="64">
        <f t="shared" si="1"/>
        <v>0.99852084896026039</v>
      </c>
      <c r="E131" s="64">
        <f t="shared" si="2"/>
        <v>0.9984760743675708</v>
      </c>
      <c r="F131" s="64">
        <f t="shared" si="3"/>
        <v>7.3148430356595462E-4</v>
      </c>
      <c r="G131" s="64"/>
      <c r="H131" s="74"/>
      <c r="I131" s="119"/>
      <c r="J131" s="119"/>
      <c r="K131" s="119"/>
      <c r="L131" s="119"/>
      <c r="M131" s="119"/>
      <c r="N131" s="85"/>
      <c r="O131" s="106"/>
      <c r="P131" s="54"/>
      <c r="Q131" s="150"/>
      <c r="R131" s="150"/>
      <c r="S131" s="150"/>
      <c r="T131" s="150"/>
      <c r="U131" s="150"/>
      <c r="V131" s="150"/>
    </row>
    <row r="132" spans="1:23" x14ac:dyDescent="0.2">
      <c r="A132" s="59">
        <v>41872.66796875</v>
      </c>
      <c r="B132" s="158">
        <v>1.6891587010615605</v>
      </c>
      <c r="C132" s="64">
        <f t="shared" si="0"/>
        <v>1.6395</v>
      </c>
      <c r="D132" s="64">
        <f t="shared" si="1"/>
        <v>0.99940833958410413</v>
      </c>
      <c r="E132" s="64">
        <f t="shared" si="2"/>
        <v>0.9993904297470283</v>
      </c>
      <c r="F132" s="64">
        <f t="shared" si="3"/>
        <v>9.1435537945749878E-4</v>
      </c>
      <c r="G132" s="64"/>
      <c r="H132" s="74"/>
      <c r="I132" s="119"/>
      <c r="J132" s="119"/>
      <c r="K132" s="119"/>
      <c r="L132" s="119"/>
      <c r="M132" s="119"/>
      <c r="N132" s="85"/>
      <c r="O132" s="106"/>
      <c r="P132" s="54"/>
      <c r="Q132" s="150"/>
      <c r="R132" s="150"/>
      <c r="S132" s="150"/>
      <c r="T132" s="150"/>
      <c r="U132" s="150"/>
      <c r="V132" s="150"/>
    </row>
    <row r="133" spans="1:23" x14ac:dyDescent="0.2">
      <c r="A133" s="59">
        <v>45770.91015625</v>
      </c>
      <c r="B133" s="158">
        <v>1.6898587010615607</v>
      </c>
      <c r="C133" s="64">
        <f t="shared" si="0"/>
        <v>1.6402000000000001</v>
      </c>
      <c r="D133" s="64">
        <f t="shared" si="1"/>
        <v>0.99982250187523125</v>
      </c>
      <c r="E133" s="64">
        <f t="shared" si="2"/>
        <v>0.99981712892410857</v>
      </c>
      <c r="F133" s="64">
        <f t="shared" si="3"/>
        <v>4.2669917708026972E-4</v>
      </c>
      <c r="G133" s="64"/>
      <c r="H133" s="74"/>
      <c r="I133" s="119"/>
      <c r="J133" s="119"/>
      <c r="K133" s="119"/>
      <c r="L133" s="119"/>
      <c r="M133" s="119"/>
      <c r="N133" s="85"/>
      <c r="O133" s="106"/>
      <c r="P133" s="54"/>
      <c r="Q133" s="150"/>
      <c r="R133" s="150"/>
      <c r="S133" s="150"/>
      <c r="T133" s="150"/>
      <c r="U133" s="150"/>
      <c r="V133" s="150"/>
    </row>
    <row r="134" spans="1:23" x14ac:dyDescent="0.2">
      <c r="A134" s="59">
        <v>50071.73046875</v>
      </c>
      <c r="B134" s="158">
        <v>1.6901587010615606</v>
      </c>
      <c r="C134" s="64">
        <f t="shared" si="0"/>
        <v>1.6405000000000001</v>
      </c>
      <c r="D134" s="64">
        <f t="shared" si="1"/>
        <v>1</v>
      </c>
      <c r="E134" s="64">
        <f t="shared" si="2"/>
        <v>1</v>
      </c>
      <c r="F134" s="64">
        <f t="shared" si="3"/>
        <v>1.8287107589143314E-4</v>
      </c>
      <c r="G134" s="64"/>
      <c r="H134" s="74"/>
      <c r="I134" s="119"/>
      <c r="J134" s="119"/>
      <c r="K134" s="119"/>
      <c r="L134" s="119"/>
      <c r="M134" s="119"/>
      <c r="N134" s="85"/>
      <c r="O134" s="106"/>
      <c r="P134" s="54"/>
      <c r="Q134" s="150"/>
      <c r="R134" s="150"/>
      <c r="S134" s="150"/>
      <c r="T134" s="150"/>
      <c r="U134" s="150"/>
      <c r="V134" s="150"/>
    </row>
    <row r="135" spans="1:23" x14ac:dyDescent="0.2">
      <c r="A135" s="59">
        <v>54771.234375</v>
      </c>
      <c r="B135" s="158">
        <v>1.6901587010615606</v>
      </c>
      <c r="C135" s="64">
        <f t="shared" si="0"/>
        <v>1.6405000000000001</v>
      </c>
      <c r="D135" s="64">
        <f t="shared" si="1"/>
        <v>1</v>
      </c>
      <c r="E135" s="64">
        <f t="shared" si="2"/>
        <v>1</v>
      </c>
      <c r="F135" s="64">
        <f t="shared" si="3"/>
        <v>0</v>
      </c>
      <c r="G135" s="64"/>
      <c r="H135" s="74"/>
      <c r="I135" s="119"/>
      <c r="J135" s="119"/>
      <c r="K135" s="119"/>
      <c r="L135" s="119"/>
      <c r="M135" s="119"/>
      <c r="N135" s="85"/>
      <c r="O135" s="106"/>
      <c r="P135" s="54"/>
      <c r="Q135" s="150"/>
      <c r="R135" s="150"/>
      <c r="S135" s="150"/>
      <c r="T135" s="150"/>
      <c r="U135" s="150"/>
      <c r="V135" s="150"/>
    </row>
    <row r="136" spans="1:23" x14ac:dyDescent="0.2">
      <c r="A136" s="59">
        <v>59468.87109375</v>
      </c>
      <c r="B136" s="158">
        <v>1.6901587010615606</v>
      </c>
      <c r="C136" s="64">
        <f t="shared" si="0"/>
        <v>1.6405000000000001</v>
      </c>
      <c r="D136" s="64">
        <f t="shared" si="1"/>
        <v>1</v>
      </c>
      <c r="E136" s="64">
        <f t="shared" si="2"/>
        <v>1</v>
      </c>
      <c r="F136" s="64">
        <f t="shared" si="3"/>
        <v>0</v>
      </c>
      <c r="G136" s="64"/>
      <c r="H136" s="48"/>
      <c r="I136" s="59"/>
      <c r="J136" s="59"/>
      <c r="K136" s="59"/>
      <c r="L136" s="59"/>
      <c r="M136" s="59"/>
      <c r="P136" s="54"/>
      <c r="Q136" s="150"/>
      <c r="R136" s="150"/>
      <c r="S136" s="150"/>
      <c r="T136" s="150"/>
      <c r="U136" s="150"/>
      <c r="V136" s="150"/>
    </row>
    <row r="137" spans="1:23" x14ac:dyDescent="0.2">
      <c r="A137" s="59"/>
      <c r="B137" s="158"/>
      <c r="C137" s="64"/>
      <c r="D137" s="64"/>
      <c r="E137" s="64"/>
      <c r="F137" s="64"/>
      <c r="G137" s="64"/>
      <c r="H137" s="48"/>
      <c r="I137" s="59"/>
      <c r="J137" s="59"/>
      <c r="K137" s="59"/>
      <c r="L137" s="59"/>
      <c r="M137" s="59"/>
      <c r="P137" s="134"/>
      <c r="Q137" s="150"/>
      <c r="R137" s="150"/>
      <c r="S137" s="150"/>
      <c r="T137" s="150"/>
      <c r="U137" s="150"/>
      <c r="V137" s="150"/>
    </row>
    <row r="138" spans="1:23" x14ac:dyDescent="0.2">
      <c r="A138" s="59"/>
      <c r="B138" s="158"/>
      <c r="C138" s="64"/>
      <c r="D138" s="64"/>
      <c r="E138" s="64"/>
      <c r="F138" s="64"/>
      <c r="G138" s="64"/>
      <c r="H138" s="48"/>
      <c r="I138" s="59"/>
      <c r="J138" s="59"/>
      <c r="K138" s="59"/>
      <c r="L138" s="59"/>
      <c r="M138" s="59"/>
      <c r="P138" s="134"/>
      <c r="Q138" s="150"/>
      <c r="R138" s="150"/>
      <c r="S138" s="150"/>
      <c r="T138" s="150"/>
      <c r="U138" s="150"/>
      <c r="V138" s="150"/>
    </row>
    <row r="139" spans="1:23" x14ac:dyDescent="0.2">
      <c r="A139" s="59"/>
      <c r="B139" s="158"/>
      <c r="C139" s="64"/>
      <c r="D139" s="64"/>
      <c r="E139" s="64"/>
      <c r="F139" s="64"/>
      <c r="G139" s="64"/>
      <c r="H139" s="48"/>
      <c r="I139" s="59"/>
      <c r="J139" s="59"/>
      <c r="K139" s="59"/>
      <c r="L139" s="59"/>
      <c r="M139" s="59"/>
      <c r="P139" s="134"/>
      <c r="Q139" s="150"/>
      <c r="R139" s="150"/>
      <c r="S139" s="150"/>
      <c r="T139" s="150"/>
      <c r="U139" s="150"/>
      <c r="V139" s="150"/>
    </row>
    <row r="140" spans="1:23" x14ac:dyDescent="0.2">
      <c r="A140" s="59"/>
      <c r="B140" s="158"/>
      <c r="C140" s="64"/>
      <c r="D140" s="64"/>
      <c r="E140" s="64"/>
      <c r="F140" s="64"/>
      <c r="G140" s="64"/>
      <c r="H140" s="48"/>
      <c r="I140" s="59"/>
      <c r="J140" s="59"/>
      <c r="K140" s="59"/>
      <c r="L140" s="59"/>
      <c r="M140" s="59"/>
      <c r="P140" s="134"/>
      <c r="Q140" s="150"/>
      <c r="R140" s="150"/>
      <c r="S140" s="150"/>
      <c r="T140" s="150"/>
      <c r="U140" s="150"/>
      <c r="V140" s="150"/>
    </row>
    <row r="141" spans="1:23" x14ac:dyDescent="0.2">
      <c r="A141" s="59"/>
      <c r="B141" s="158"/>
      <c r="C141" s="64"/>
      <c r="D141" s="64"/>
      <c r="E141" s="64"/>
      <c r="F141" s="64"/>
      <c r="G141" s="64"/>
      <c r="H141" s="64"/>
      <c r="I141" s="64"/>
      <c r="J141" s="64"/>
      <c r="K141" s="64"/>
      <c r="L141" s="64"/>
      <c r="M141" s="64"/>
      <c r="N141" s="64"/>
      <c r="O141" s="48"/>
      <c r="P141" s="59"/>
      <c r="Q141" s="59"/>
      <c r="R141" s="59"/>
      <c r="S141" s="59"/>
      <c r="T141" s="59"/>
      <c r="W141" s="134"/>
    </row>
  </sheetData>
  <mergeCells count="7">
    <mergeCell ref="A5:M5"/>
    <mergeCell ref="I32:J32"/>
    <mergeCell ref="I33:J33"/>
    <mergeCell ref="I34:J34"/>
    <mergeCell ref="K32:L32"/>
    <mergeCell ref="K33:L33"/>
    <mergeCell ref="K34:L34"/>
  </mergeCells>
  <printOptions horizontalCentered="1"/>
  <pageMargins left="0.5" right="0.5" top="0.1" bottom="0.25" header="0" footer="0"/>
  <pageSetup scale="65" orientation="portrait"/>
  <rowBreaks count="2" manualBreakCount="2">
    <brk id="86" max="12" man="1"/>
    <brk id="162" max="12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showGridLines="0" workbookViewId="0">
      <selection activeCell="O4" sqref="O4"/>
    </sheetView>
  </sheetViews>
  <sheetFormatPr defaultColWidth="8.85546875" defaultRowHeight="12.75" x14ac:dyDescent="0.2"/>
  <cols>
    <col min="1" max="17" width="8.140625" style="65" customWidth="1"/>
    <col min="18" max="16384" width="8.85546875" style="65"/>
  </cols>
  <sheetData>
    <row r="1" spans="1:15" ht="15.75" x14ac:dyDescent="0.25">
      <c r="C1" s="160" t="s">
        <v>11</v>
      </c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41"/>
      <c r="O1" s="41"/>
    </row>
    <row r="2" spans="1:15" x14ac:dyDescent="0.2">
      <c r="C2" s="100" t="str">
        <f>Table!A7</f>
        <v>NordAq Energy Inc.</v>
      </c>
      <c r="K2" s="92" t="str">
        <f>Table!L7</f>
        <v>Sample Number:</v>
      </c>
      <c r="N2" s="149"/>
      <c r="O2" s="49" t="str">
        <f>Table!$P$7</f>
        <v>6</v>
      </c>
    </row>
    <row r="3" spans="1:15" x14ac:dyDescent="0.2">
      <c r="C3" s="100" t="str">
        <f>Table!A8</f>
        <v>East Simpson No. 2 (USGS/Husky 1980)</v>
      </c>
      <c r="K3" s="92" t="str">
        <f>Table!L8</f>
        <v>Sample Depth, m:</v>
      </c>
      <c r="N3" s="157"/>
      <c r="O3" s="29">
        <f>Table!$P$8</f>
        <v>6068.3</v>
      </c>
    </row>
    <row r="4" spans="1:15" x14ac:dyDescent="0.2">
      <c r="C4" s="100" t="str">
        <f>Table!A9</f>
        <v>Torok Sandstones Formation</v>
      </c>
      <c r="K4" s="92" t="str">
        <f>Table!L9</f>
        <v>Permeability to Air (calc), mD:</v>
      </c>
      <c r="M4" s="147"/>
      <c r="N4" s="132"/>
      <c r="O4" s="120">
        <f>Table!$P$9</f>
        <v>2.1962670087397971</v>
      </c>
    </row>
    <row r="5" spans="1:15" x14ac:dyDescent="0.2">
      <c r="C5" s="100" t="str">
        <f>Table!A10</f>
        <v>HH-61176</v>
      </c>
      <c r="D5" s="122"/>
      <c r="E5" s="122"/>
      <c r="F5" s="120"/>
      <c r="G5" s="122"/>
      <c r="K5" s="92" t="str">
        <f>Table!L10</f>
        <v>Porosity, fraction:</v>
      </c>
      <c r="M5" s="147"/>
      <c r="N5" s="132"/>
      <c r="O5" s="33">
        <f>Table!$P$10</f>
        <v>0.14921824370284179</v>
      </c>
    </row>
    <row r="6" spans="1:15" x14ac:dyDescent="0.2">
      <c r="A6" s="147"/>
      <c r="C6" s="100"/>
      <c r="D6" s="3"/>
      <c r="E6" s="3"/>
      <c r="F6" s="3"/>
      <c r="G6" s="147"/>
      <c r="K6" s="92" t="str">
        <f>Table!L11</f>
        <v>Grain Density, grams/cc:</v>
      </c>
      <c r="M6" s="3"/>
      <c r="N6" s="83"/>
      <c r="O6" s="120">
        <f>Table!$P$11</f>
        <v>2.6791143890057936</v>
      </c>
    </row>
    <row r="7" spans="1:15" x14ac:dyDescent="0.2">
      <c r="B7" s="100"/>
      <c r="D7" s="147"/>
      <c r="E7" s="147"/>
      <c r="I7" s="92"/>
      <c r="K7" s="3"/>
      <c r="L7" s="123"/>
      <c r="M7" s="68"/>
    </row>
    <row r="8" spans="1:15" x14ac:dyDescent="0.2">
      <c r="B8" s="100"/>
      <c r="D8" s="147"/>
      <c r="E8" s="147"/>
      <c r="I8" s="92"/>
      <c r="K8" s="3"/>
      <c r="L8" s="123"/>
      <c r="M8" s="68"/>
    </row>
    <row r="9" spans="1:15" ht="12" customHeight="1" x14ac:dyDescent="0.2">
      <c r="B9" s="147"/>
      <c r="C9" s="147"/>
      <c r="D9" s="147"/>
      <c r="E9" s="147"/>
      <c r="F9" s="147"/>
    </row>
    <row r="10" spans="1:15" x14ac:dyDescent="0.2">
      <c r="B10" s="147"/>
      <c r="C10" s="147"/>
      <c r="D10" s="147"/>
      <c r="E10" s="147"/>
      <c r="F10" s="147"/>
      <c r="K10" s="3"/>
      <c r="L10" s="123"/>
    </row>
    <row r="11" spans="1:15" x14ac:dyDescent="0.2">
      <c r="B11" s="147"/>
      <c r="C11" s="147"/>
      <c r="D11" s="3"/>
      <c r="E11" s="147"/>
      <c r="F11" s="147"/>
      <c r="K11" s="3"/>
      <c r="L11" s="123"/>
    </row>
    <row r="12" spans="1:15" x14ac:dyDescent="0.2">
      <c r="B12" s="147"/>
      <c r="C12" s="147"/>
      <c r="D12" s="3"/>
      <c r="E12" s="147"/>
      <c r="F12" s="147"/>
      <c r="G12" s="92"/>
      <c r="H12" s="147"/>
      <c r="I12" s="147"/>
      <c r="J12" s="33"/>
      <c r="K12" s="3"/>
      <c r="L12" s="123"/>
    </row>
    <row r="13" spans="1:15" x14ac:dyDescent="0.2">
      <c r="A13" s="100"/>
      <c r="B13" s="147"/>
      <c r="C13" s="147"/>
      <c r="D13" s="147"/>
      <c r="E13" s="147"/>
      <c r="F13" s="147"/>
      <c r="G13" s="147"/>
      <c r="H13" s="147"/>
      <c r="I13" s="132"/>
      <c r="J13" s="3"/>
      <c r="K13" s="3"/>
      <c r="L13" s="123"/>
    </row>
    <row r="14" spans="1:15" x14ac:dyDescent="0.2">
      <c r="A14" s="25"/>
      <c r="B14" s="25"/>
      <c r="C14" s="25"/>
      <c r="D14" s="25"/>
      <c r="E14" s="25"/>
      <c r="F14" s="25"/>
      <c r="G14" s="25"/>
      <c r="H14" s="25"/>
      <c r="I14" s="25"/>
      <c r="J14" s="25"/>
      <c r="K14" s="3"/>
      <c r="L14" s="123"/>
    </row>
    <row r="15" spans="1:15" x14ac:dyDescent="0.2">
      <c r="A15" s="25"/>
      <c r="B15" s="25"/>
      <c r="C15" s="25"/>
      <c r="D15" s="25"/>
      <c r="E15" s="25"/>
      <c r="F15" s="25"/>
      <c r="G15" s="25"/>
      <c r="H15" s="25"/>
      <c r="I15" s="25"/>
      <c r="J15" s="25"/>
      <c r="K15" s="147"/>
      <c r="L15" s="123"/>
    </row>
    <row r="16" spans="1:15" x14ac:dyDescent="0.2">
      <c r="A16" s="25"/>
      <c r="B16" s="25"/>
      <c r="C16" s="25"/>
      <c r="D16" s="25"/>
      <c r="E16" s="25"/>
      <c r="F16" s="25"/>
      <c r="G16" s="25"/>
      <c r="H16" s="25"/>
      <c r="I16" s="25"/>
      <c r="J16" s="25"/>
      <c r="K16" s="147"/>
      <c r="L16" s="123"/>
    </row>
    <row r="17" spans="1:12" x14ac:dyDescent="0.2">
      <c r="A17" s="84"/>
      <c r="B17" s="84"/>
      <c r="C17" s="84"/>
      <c r="D17" s="84"/>
      <c r="E17" s="84"/>
      <c r="F17" s="84"/>
      <c r="G17" s="84"/>
      <c r="H17" s="84"/>
      <c r="I17" s="84"/>
      <c r="J17" s="84"/>
      <c r="K17" s="147"/>
      <c r="L17" s="54"/>
    </row>
    <row r="18" spans="1:12" x14ac:dyDescent="0.2">
      <c r="A18" s="134"/>
      <c r="B18" s="79"/>
      <c r="C18" s="79"/>
      <c r="D18" s="142"/>
      <c r="E18" s="75"/>
      <c r="F18" s="129"/>
      <c r="G18" s="129"/>
      <c r="H18" s="129"/>
      <c r="I18" s="129"/>
      <c r="J18" s="129"/>
      <c r="K18" s="147"/>
      <c r="L18" s="54"/>
    </row>
    <row r="19" spans="1:12" x14ac:dyDescent="0.2">
      <c r="A19" s="148"/>
      <c r="B19" s="79"/>
      <c r="C19" s="79"/>
      <c r="D19" s="142"/>
      <c r="E19" s="75"/>
      <c r="F19" s="129"/>
      <c r="G19" s="129"/>
      <c r="H19" s="129"/>
      <c r="I19" s="129"/>
      <c r="J19" s="129"/>
      <c r="K19" s="147"/>
      <c r="L19" s="54"/>
    </row>
    <row r="20" spans="1:12" x14ac:dyDescent="0.2">
      <c r="A20" s="148"/>
      <c r="B20" s="79"/>
      <c r="C20" s="79"/>
      <c r="D20" s="142"/>
      <c r="E20" s="75"/>
      <c r="F20" s="129"/>
      <c r="G20" s="129"/>
      <c r="H20" s="129"/>
      <c r="I20" s="129"/>
      <c r="J20" s="129"/>
      <c r="K20" s="147"/>
      <c r="L20" s="84"/>
    </row>
    <row r="21" spans="1:12" x14ac:dyDescent="0.2">
      <c r="A21" s="148"/>
      <c r="B21" s="79"/>
      <c r="C21" s="79"/>
      <c r="D21" s="142"/>
      <c r="E21" s="75"/>
      <c r="F21" s="129"/>
      <c r="G21" s="129"/>
      <c r="H21" s="129"/>
      <c r="I21" s="129"/>
      <c r="J21" s="129"/>
      <c r="K21" s="147"/>
      <c r="L21" s="101"/>
    </row>
    <row r="22" spans="1:12" x14ac:dyDescent="0.2">
      <c r="A22" s="148"/>
      <c r="B22" s="79"/>
      <c r="C22" s="79"/>
      <c r="D22" s="142"/>
      <c r="E22" s="75"/>
      <c r="F22" s="129"/>
      <c r="G22" s="129"/>
      <c r="H22" s="129"/>
      <c r="I22" s="129"/>
      <c r="J22" s="129"/>
      <c r="K22" s="147"/>
      <c r="L22" s="101"/>
    </row>
    <row r="23" spans="1:12" x14ac:dyDescent="0.2">
      <c r="A23" s="148"/>
      <c r="B23" s="79"/>
      <c r="C23" s="79"/>
      <c r="D23" s="142"/>
      <c r="E23" s="75"/>
      <c r="F23" s="129"/>
      <c r="G23" s="129"/>
      <c r="H23" s="129"/>
      <c r="I23" s="129"/>
      <c r="J23" s="129"/>
      <c r="K23" s="147"/>
      <c r="L23" s="101"/>
    </row>
    <row r="24" spans="1:12" x14ac:dyDescent="0.2">
      <c r="A24" s="127"/>
      <c r="B24" s="79"/>
      <c r="C24" s="79"/>
      <c r="D24" s="142"/>
      <c r="E24" s="75"/>
      <c r="F24" s="129"/>
      <c r="G24" s="129"/>
      <c r="H24" s="129"/>
      <c r="I24" s="129"/>
      <c r="J24" s="129"/>
      <c r="K24" s="147"/>
      <c r="L24" s="101"/>
    </row>
    <row r="25" spans="1:12" x14ac:dyDescent="0.2">
      <c r="A25" s="127"/>
      <c r="B25" s="79"/>
      <c r="C25" s="79"/>
      <c r="D25" s="142"/>
      <c r="E25" s="75"/>
      <c r="F25" s="129"/>
      <c r="G25" s="129"/>
      <c r="H25" s="129"/>
      <c r="I25" s="129"/>
      <c r="J25" s="129"/>
      <c r="K25" s="147"/>
      <c r="L25" s="101"/>
    </row>
    <row r="26" spans="1:12" x14ac:dyDescent="0.2">
      <c r="A26" s="127"/>
      <c r="B26" s="79"/>
      <c r="C26" s="79"/>
      <c r="D26" s="142"/>
      <c r="E26" s="75"/>
      <c r="F26" s="129"/>
      <c r="G26" s="129"/>
      <c r="H26" s="129"/>
      <c r="I26" s="129"/>
      <c r="J26" s="129"/>
      <c r="K26" s="147"/>
      <c r="L26" s="101"/>
    </row>
    <row r="27" spans="1:12" ht="15.75" customHeight="1" x14ac:dyDescent="0.2">
      <c r="A27" s="127"/>
      <c r="B27" s="79"/>
      <c r="C27" s="79"/>
      <c r="D27" s="142"/>
      <c r="E27" s="75"/>
      <c r="F27" s="129"/>
      <c r="G27" s="129"/>
      <c r="H27" s="129"/>
      <c r="I27" s="129"/>
      <c r="J27" s="129"/>
      <c r="K27" s="147"/>
      <c r="L27" s="101"/>
    </row>
    <row r="28" spans="1:12" x14ac:dyDescent="0.2">
      <c r="A28" s="127"/>
      <c r="B28" s="79"/>
      <c r="C28" s="79"/>
      <c r="D28" s="142"/>
      <c r="E28" s="75"/>
      <c r="F28" s="129"/>
      <c r="G28" s="129"/>
      <c r="H28" s="129"/>
      <c r="I28" s="129"/>
      <c r="J28" s="129"/>
      <c r="K28" s="147"/>
      <c r="L28" s="101"/>
    </row>
    <row r="29" spans="1:12" x14ac:dyDescent="0.2">
      <c r="A29" s="57"/>
      <c r="B29" s="79"/>
      <c r="C29" s="79"/>
      <c r="D29" s="142"/>
      <c r="E29" s="75"/>
      <c r="F29" s="129"/>
      <c r="G29" s="129"/>
      <c r="H29" s="129"/>
      <c r="I29" s="129"/>
      <c r="J29" s="129"/>
      <c r="K29" s="147"/>
      <c r="L29" s="101"/>
    </row>
    <row r="30" spans="1:12" x14ac:dyDescent="0.2">
      <c r="A30" s="57"/>
      <c r="B30" s="79"/>
      <c r="C30" s="79"/>
      <c r="D30" s="142"/>
      <c r="E30" s="75"/>
      <c r="F30" s="129"/>
      <c r="G30" s="129"/>
      <c r="H30" s="129"/>
      <c r="I30" s="129"/>
      <c r="J30" s="129"/>
      <c r="K30" s="147"/>
      <c r="L30" s="101"/>
    </row>
    <row r="31" spans="1:12" x14ac:dyDescent="0.2">
      <c r="A31" s="57"/>
      <c r="B31" s="79"/>
      <c r="C31" s="79"/>
      <c r="D31" s="142"/>
      <c r="E31" s="75"/>
      <c r="F31" s="129"/>
      <c r="G31" s="129"/>
      <c r="H31" s="129"/>
      <c r="I31" s="129"/>
      <c r="J31" s="129"/>
      <c r="K31" s="147"/>
      <c r="L31" s="101"/>
    </row>
    <row r="32" spans="1:12" x14ac:dyDescent="0.2">
      <c r="A32" s="57"/>
      <c r="B32" s="79"/>
      <c r="C32" s="79"/>
      <c r="D32" s="142"/>
      <c r="E32" s="75"/>
      <c r="F32" s="129"/>
      <c r="G32" s="129"/>
      <c r="H32" s="129"/>
      <c r="I32" s="129"/>
      <c r="J32" s="129"/>
      <c r="K32" s="147"/>
      <c r="L32" s="101"/>
    </row>
    <row r="33" spans="1:12" x14ac:dyDescent="0.2">
      <c r="A33" s="57"/>
      <c r="B33" s="79"/>
      <c r="C33" s="79"/>
      <c r="D33" s="142"/>
      <c r="E33" s="75"/>
      <c r="F33" s="129"/>
      <c r="G33" s="129"/>
      <c r="H33" s="129"/>
      <c r="I33" s="129"/>
      <c r="J33" s="129"/>
      <c r="K33" s="147"/>
      <c r="L33" s="101"/>
    </row>
    <row r="34" spans="1:12" x14ac:dyDescent="0.2">
      <c r="A34" s="103"/>
      <c r="B34" s="79"/>
      <c r="C34" s="79"/>
      <c r="D34" s="142"/>
      <c r="E34" s="75"/>
      <c r="F34" s="129"/>
      <c r="G34" s="129"/>
      <c r="H34" s="129"/>
      <c r="I34" s="129"/>
      <c r="J34" s="129"/>
      <c r="K34" s="147"/>
      <c r="L34" s="101"/>
    </row>
    <row r="35" spans="1:12" x14ac:dyDescent="0.2">
      <c r="A35" s="103"/>
      <c r="B35" s="79"/>
      <c r="C35" s="79"/>
      <c r="D35" s="142"/>
      <c r="E35" s="75"/>
      <c r="F35" s="129"/>
      <c r="G35" s="129"/>
      <c r="H35" s="129"/>
      <c r="I35" s="129"/>
      <c r="J35" s="129"/>
      <c r="K35" s="147"/>
      <c r="L35" s="101"/>
    </row>
    <row r="36" spans="1:12" x14ac:dyDescent="0.2">
      <c r="A36" s="103"/>
      <c r="B36" s="79"/>
      <c r="C36" s="79"/>
      <c r="D36" s="142"/>
      <c r="E36" s="75"/>
      <c r="F36" s="129"/>
      <c r="G36" s="129"/>
      <c r="H36" s="129"/>
      <c r="I36" s="129"/>
      <c r="J36" s="129"/>
      <c r="K36" s="147"/>
      <c r="L36" s="101"/>
    </row>
    <row r="37" spans="1:12" x14ac:dyDescent="0.2">
      <c r="A37" s="103"/>
      <c r="B37" s="79"/>
      <c r="C37" s="79"/>
      <c r="D37" s="142"/>
      <c r="E37" s="75"/>
      <c r="F37" s="129"/>
      <c r="G37" s="129"/>
      <c r="H37" s="129"/>
      <c r="I37" s="129"/>
      <c r="J37" s="129"/>
      <c r="K37" s="147"/>
      <c r="L37" s="101"/>
    </row>
    <row r="38" spans="1:12" x14ac:dyDescent="0.2">
      <c r="A38" s="103"/>
      <c r="B38" s="79"/>
      <c r="C38" s="79"/>
      <c r="D38" s="142"/>
      <c r="E38" s="75"/>
      <c r="F38" s="129"/>
      <c r="G38" s="129"/>
      <c r="H38" s="129"/>
      <c r="I38" s="129"/>
      <c r="J38" s="129"/>
      <c r="K38" s="147"/>
      <c r="L38" s="101"/>
    </row>
    <row r="39" spans="1:12" x14ac:dyDescent="0.2">
      <c r="A39" s="103"/>
      <c r="B39" s="79"/>
      <c r="C39" s="79"/>
      <c r="D39" s="142"/>
      <c r="E39" s="75"/>
      <c r="F39" s="129"/>
      <c r="G39" s="129"/>
      <c r="H39" s="129"/>
      <c r="I39" s="129"/>
      <c r="J39" s="129"/>
      <c r="K39" s="147"/>
      <c r="L39" s="101"/>
    </row>
    <row r="40" spans="1:12" x14ac:dyDescent="0.2">
      <c r="A40" s="103"/>
      <c r="B40" s="79"/>
      <c r="C40" s="79"/>
      <c r="D40" s="142"/>
      <c r="E40" s="75"/>
      <c r="F40" s="129"/>
      <c r="G40" s="129"/>
      <c r="H40" s="129"/>
      <c r="I40" s="129"/>
      <c r="J40" s="129"/>
      <c r="K40" s="147"/>
      <c r="L40" s="101"/>
    </row>
    <row r="41" spans="1:12" x14ac:dyDescent="0.2">
      <c r="A41" s="103"/>
      <c r="B41" s="79"/>
      <c r="C41" s="79"/>
      <c r="D41" s="142"/>
      <c r="E41" s="75"/>
      <c r="F41" s="129"/>
      <c r="G41" s="129"/>
      <c r="H41" s="129"/>
      <c r="I41" s="129"/>
      <c r="J41" s="129"/>
      <c r="K41" s="147"/>
      <c r="L41" s="101"/>
    </row>
    <row r="42" spans="1:12" x14ac:dyDescent="0.2">
      <c r="A42" s="103"/>
      <c r="B42" s="79"/>
      <c r="C42" s="79"/>
      <c r="D42" s="142"/>
      <c r="E42" s="75"/>
      <c r="F42" s="129"/>
      <c r="G42" s="129"/>
      <c r="H42" s="129"/>
      <c r="I42" s="129"/>
      <c r="J42" s="129"/>
      <c r="K42" s="147"/>
      <c r="L42" s="101"/>
    </row>
    <row r="43" spans="1:12" x14ac:dyDescent="0.2">
      <c r="A43" s="103"/>
      <c r="B43" s="79"/>
      <c r="C43" s="79"/>
      <c r="D43" s="142"/>
      <c r="E43" s="75"/>
      <c r="F43" s="129"/>
      <c r="G43" s="129"/>
      <c r="H43" s="129"/>
      <c r="I43" s="129"/>
      <c r="J43" s="129"/>
      <c r="K43" s="147"/>
      <c r="L43" s="101"/>
    </row>
    <row r="44" spans="1:12" x14ac:dyDescent="0.2">
      <c r="A44" s="150"/>
      <c r="B44" s="150"/>
      <c r="C44" s="150"/>
      <c r="D44" s="150"/>
      <c r="E44" s="150"/>
      <c r="F44" s="150"/>
      <c r="G44" s="150"/>
      <c r="H44" s="150"/>
      <c r="I44" s="150"/>
      <c r="J44" s="150"/>
    </row>
    <row r="45" spans="1:12" ht="17.25" customHeight="1" x14ac:dyDescent="0.2">
      <c r="A45" s="150"/>
      <c r="B45" s="150"/>
      <c r="C45" s="150"/>
      <c r="D45" s="150"/>
      <c r="E45" s="150"/>
      <c r="F45" s="150"/>
      <c r="G45" s="150"/>
      <c r="H45" s="150"/>
      <c r="I45" s="150"/>
      <c r="J45" s="150"/>
    </row>
    <row r="46" spans="1:12" x14ac:dyDescent="0.2">
      <c r="A46" s="150"/>
      <c r="B46" s="150"/>
      <c r="C46" s="150"/>
      <c r="D46" s="150"/>
      <c r="E46" s="150"/>
      <c r="F46" s="150"/>
      <c r="G46" s="150"/>
      <c r="H46" s="150"/>
      <c r="I46" s="150"/>
      <c r="J46" s="150"/>
    </row>
    <row r="47" spans="1:12" x14ac:dyDescent="0.2">
      <c r="A47" s="150"/>
      <c r="B47" s="150"/>
      <c r="C47" s="150"/>
      <c r="D47" s="150"/>
      <c r="E47" s="150"/>
      <c r="F47" s="150"/>
      <c r="G47" s="150"/>
      <c r="H47" s="150"/>
      <c r="I47" s="150"/>
      <c r="J47" s="150"/>
      <c r="K47" s="150"/>
    </row>
    <row r="48" spans="1:12" ht="15" x14ac:dyDescent="0.2">
      <c r="A48" s="150"/>
      <c r="B48" s="150"/>
      <c r="C48" s="150"/>
      <c r="D48" s="150"/>
      <c r="E48" s="150"/>
      <c r="F48" s="150"/>
      <c r="G48" s="150"/>
      <c r="H48" s="136"/>
      <c r="I48" s="78"/>
      <c r="J48" s="63"/>
      <c r="K48" s="150"/>
    </row>
    <row r="49" spans="1:12" x14ac:dyDescent="0.2">
      <c r="A49" s="150"/>
      <c r="B49" s="150"/>
      <c r="C49" s="150"/>
      <c r="D49" s="150"/>
      <c r="E49" s="150"/>
      <c r="F49" s="150"/>
      <c r="G49" s="150"/>
      <c r="H49" s="78"/>
      <c r="I49" s="78"/>
      <c r="J49" s="63"/>
      <c r="K49" s="150"/>
    </row>
    <row r="50" spans="1:12" x14ac:dyDescent="0.2">
      <c r="G50" s="150"/>
      <c r="H50" s="78"/>
      <c r="I50" s="78"/>
      <c r="J50" s="63"/>
      <c r="K50" s="150"/>
    </row>
    <row r="51" spans="1:12" x14ac:dyDescent="0.2">
      <c r="G51" s="150"/>
      <c r="H51" s="78"/>
      <c r="I51" s="78"/>
      <c r="J51" s="63"/>
      <c r="K51" s="150"/>
    </row>
    <row r="52" spans="1:12" x14ac:dyDescent="0.2">
      <c r="G52" s="150"/>
      <c r="H52" s="78"/>
      <c r="I52" s="78"/>
      <c r="J52" s="63"/>
      <c r="K52" s="150"/>
    </row>
    <row r="53" spans="1:12" x14ac:dyDescent="0.2">
      <c r="G53" s="150"/>
      <c r="H53" s="150"/>
      <c r="I53" s="150"/>
      <c r="J53" s="150"/>
      <c r="K53" s="150"/>
    </row>
    <row r="54" spans="1:12" x14ac:dyDescent="0.2">
      <c r="G54" s="150"/>
      <c r="H54" s="150"/>
      <c r="I54" s="150"/>
      <c r="J54" s="150"/>
      <c r="K54" s="150"/>
    </row>
    <row r="56" spans="1:12" x14ac:dyDescent="0.2">
      <c r="J56"/>
      <c r="K56"/>
      <c r="L56"/>
    </row>
    <row r="57" spans="1:12" x14ac:dyDescent="0.2">
      <c r="J57"/>
      <c r="K57"/>
      <c r="L57"/>
    </row>
    <row r="58" spans="1:12" x14ac:dyDescent="0.2">
      <c r="J58"/>
      <c r="K58"/>
      <c r="L58"/>
    </row>
    <row r="59" spans="1:12" x14ac:dyDescent="0.2">
      <c r="J59"/>
      <c r="K59"/>
      <c r="L59"/>
    </row>
    <row r="60" spans="1:12" x14ac:dyDescent="0.2">
      <c r="J60"/>
      <c r="K60"/>
      <c r="L60"/>
    </row>
  </sheetData>
  <mergeCells count="1">
    <mergeCell ref="C1:M1"/>
  </mergeCells>
  <printOptions horizontalCentered="1"/>
  <pageMargins left="0.5" right="0.5" top="0.5" bottom="0.5" header="0" footer="0"/>
  <pageSetup scale="9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showGridLines="0" workbookViewId="0">
      <selection activeCell="O4" sqref="O4"/>
    </sheetView>
  </sheetViews>
  <sheetFormatPr defaultColWidth="8.85546875" defaultRowHeight="12.75" x14ac:dyDescent="0.2"/>
  <cols>
    <col min="1" max="7" width="8.28515625" style="65" customWidth="1"/>
    <col min="8" max="8" width="4.85546875" style="65" customWidth="1"/>
    <col min="9" max="14" width="8.28515625" style="65" customWidth="1"/>
    <col min="15" max="15" width="13.140625" style="65" customWidth="1"/>
    <col min="16" max="19" width="8.28515625" style="65" customWidth="1"/>
    <col min="20" max="16384" width="8.85546875" style="65"/>
  </cols>
  <sheetData>
    <row r="1" spans="1:15" ht="15.75" x14ac:dyDescent="0.25">
      <c r="C1" s="160" t="s">
        <v>11</v>
      </c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5" x14ac:dyDescent="0.2">
      <c r="C2" s="100" t="str">
        <f>Table!A7</f>
        <v>NordAq Energy Inc.</v>
      </c>
      <c r="K2" s="92" t="str">
        <f>Table!L7</f>
        <v>Sample Number:</v>
      </c>
      <c r="O2" s="49" t="str">
        <f>Table!$P$7</f>
        <v>6</v>
      </c>
    </row>
    <row r="3" spans="1:15" x14ac:dyDescent="0.2">
      <c r="C3" s="100" t="str">
        <f>Table!A8</f>
        <v>East Simpson No. 2 (USGS/Husky 1980)</v>
      </c>
      <c r="K3" s="92" t="str">
        <f>Table!L8</f>
        <v>Sample Depth, m:</v>
      </c>
      <c r="O3" s="29">
        <f>Table!$P$8</f>
        <v>6068.3</v>
      </c>
    </row>
    <row r="4" spans="1:15" x14ac:dyDescent="0.2">
      <c r="C4" s="100" t="str">
        <f>Table!A9</f>
        <v>Torok Sandstones Formation</v>
      </c>
      <c r="K4" s="92" t="str">
        <f>Table!L9</f>
        <v>Permeability to Air (calc), mD:</v>
      </c>
      <c r="M4" s="147"/>
      <c r="N4" s="147"/>
      <c r="O4" s="120">
        <f>Table!$P$9</f>
        <v>2.1962670087397971</v>
      </c>
    </row>
    <row r="5" spans="1:15" x14ac:dyDescent="0.2">
      <c r="C5" s="100" t="str">
        <f>Table!A10</f>
        <v>HH-61176</v>
      </c>
      <c r="D5" s="107"/>
      <c r="E5" s="107"/>
      <c r="F5" s="120"/>
      <c r="G5" s="107"/>
      <c r="K5" s="92" t="str">
        <f>Table!L10</f>
        <v>Porosity, fraction:</v>
      </c>
      <c r="M5" s="147"/>
      <c r="N5" s="147"/>
      <c r="O5" s="33">
        <f>Table!$P$10</f>
        <v>0.14921824370284179</v>
      </c>
    </row>
    <row r="6" spans="1:15" x14ac:dyDescent="0.2">
      <c r="A6" s="147"/>
      <c r="C6" s="100"/>
      <c r="D6" s="3"/>
      <c r="E6" s="3"/>
      <c r="F6" s="3"/>
      <c r="G6" s="147"/>
      <c r="K6" s="92" t="str">
        <f>Table!L11</f>
        <v>Grain Density, grams/cc:</v>
      </c>
      <c r="M6" s="3"/>
      <c r="N6" s="3"/>
      <c r="O6" s="120">
        <f>Table!$P$11</f>
        <v>2.6791143890057936</v>
      </c>
    </row>
    <row r="7" spans="1:15" x14ac:dyDescent="0.2">
      <c r="B7" s="100"/>
      <c r="D7" s="147"/>
      <c r="E7" s="147"/>
      <c r="I7" s="92"/>
      <c r="K7" s="3"/>
      <c r="L7" s="123"/>
      <c r="M7" s="68"/>
    </row>
    <row r="8" spans="1:15" x14ac:dyDescent="0.2">
      <c r="B8" s="147"/>
      <c r="C8" s="147"/>
      <c r="D8" s="147"/>
      <c r="E8" s="147"/>
      <c r="F8" s="147"/>
    </row>
    <row r="9" spans="1:15" x14ac:dyDescent="0.2">
      <c r="B9" s="147"/>
      <c r="C9" s="147"/>
      <c r="D9" s="147"/>
      <c r="E9" s="147"/>
      <c r="F9" s="147"/>
      <c r="K9" s="3"/>
      <c r="L9" s="123"/>
    </row>
    <row r="10" spans="1:15" x14ac:dyDescent="0.2">
      <c r="B10" s="147"/>
      <c r="C10" s="147"/>
      <c r="D10" s="3"/>
      <c r="E10" s="147"/>
      <c r="F10" s="147"/>
      <c r="K10" s="3"/>
      <c r="L10" s="123"/>
    </row>
    <row r="11" spans="1:15" x14ac:dyDescent="0.2">
      <c r="B11" s="147"/>
      <c r="C11" s="147"/>
      <c r="D11" s="3"/>
      <c r="E11" s="147"/>
      <c r="F11" s="147"/>
      <c r="G11" s="92"/>
      <c r="H11" s="147"/>
      <c r="I11" s="147"/>
      <c r="J11" s="33"/>
      <c r="K11" s="3"/>
      <c r="L11" s="123"/>
    </row>
    <row r="12" spans="1:15" x14ac:dyDescent="0.2">
      <c r="A12" s="100"/>
      <c r="B12" s="147"/>
      <c r="C12" s="147"/>
      <c r="D12" s="147"/>
      <c r="E12" s="147"/>
      <c r="F12" s="147"/>
      <c r="G12" s="147"/>
      <c r="H12" s="147"/>
      <c r="I12" s="132"/>
      <c r="J12" s="3"/>
      <c r="K12" s="3"/>
      <c r="L12" s="123"/>
    </row>
    <row r="13" spans="1:15" x14ac:dyDescent="0.2">
      <c r="A13" s="25"/>
      <c r="B13" s="25"/>
      <c r="C13" s="25"/>
      <c r="D13" s="25"/>
      <c r="E13" s="25"/>
      <c r="F13" s="5"/>
      <c r="G13" s="5"/>
      <c r="H13" s="5"/>
      <c r="I13" s="5"/>
      <c r="J13" s="5"/>
      <c r="K13" s="3"/>
      <c r="L13" s="123"/>
    </row>
    <row r="14" spans="1:15" x14ac:dyDescent="0.2">
      <c r="A14" s="25"/>
      <c r="B14" s="25"/>
      <c r="C14" s="25"/>
      <c r="D14" s="25"/>
      <c r="E14" s="25"/>
      <c r="F14" s="25"/>
      <c r="G14" s="25"/>
      <c r="H14" s="25"/>
      <c r="I14" s="5"/>
      <c r="J14" s="5"/>
      <c r="K14" s="147"/>
      <c r="L14" s="123"/>
    </row>
    <row r="15" spans="1:15" x14ac:dyDescent="0.2">
      <c r="A15" s="25"/>
      <c r="B15" s="25"/>
      <c r="C15" s="25"/>
      <c r="D15" s="25"/>
      <c r="E15" s="25"/>
      <c r="F15" s="25"/>
      <c r="G15" s="25"/>
      <c r="H15" s="25"/>
      <c r="I15" s="5"/>
      <c r="J15" s="5"/>
      <c r="K15" s="147"/>
      <c r="L15" s="123"/>
    </row>
    <row r="16" spans="1:15" x14ac:dyDescent="0.2">
      <c r="A16" s="84"/>
      <c r="B16" s="84"/>
      <c r="C16" s="84"/>
      <c r="D16" s="84"/>
      <c r="E16" s="84"/>
      <c r="F16" s="84"/>
      <c r="G16" s="84"/>
      <c r="H16" s="84"/>
      <c r="I16" s="84"/>
      <c r="J16" s="84"/>
      <c r="K16" s="147"/>
      <c r="L16" s="54"/>
    </row>
    <row r="17" spans="1:12" x14ac:dyDescent="0.2">
      <c r="A17" s="134"/>
      <c r="B17" s="79"/>
      <c r="C17" s="79"/>
      <c r="D17" s="142"/>
      <c r="E17" s="75"/>
      <c r="F17" s="129"/>
      <c r="G17" s="129"/>
      <c r="H17" s="129"/>
      <c r="I17" s="129"/>
      <c r="J17" s="129"/>
      <c r="K17" s="147"/>
      <c r="L17" s="54"/>
    </row>
    <row r="18" spans="1:12" x14ac:dyDescent="0.2">
      <c r="A18" s="148"/>
      <c r="B18" s="79"/>
      <c r="C18" s="79"/>
      <c r="D18" s="142"/>
      <c r="E18" s="75"/>
      <c r="F18" s="129"/>
      <c r="G18" s="129"/>
      <c r="H18" s="129"/>
      <c r="I18" s="129"/>
      <c r="J18" s="129"/>
      <c r="K18" s="147"/>
      <c r="L18" s="54"/>
    </row>
    <row r="19" spans="1:12" x14ac:dyDescent="0.2">
      <c r="A19" s="148"/>
      <c r="B19" s="79"/>
      <c r="C19" s="79"/>
      <c r="D19" s="142"/>
      <c r="E19" s="75"/>
      <c r="F19" s="129"/>
      <c r="G19" s="129"/>
      <c r="H19" s="129"/>
      <c r="I19" s="129"/>
      <c r="J19" s="129"/>
      <c r="K19" s="147"/>
      <c r="L19" s="84"/>
    </row>
    <row r="20" spans="1:12" x14ac:dyDescent="0.2">
      <c r="A20" s="148"/>
      <c r="B20" s="79"/>
      <c r="C20" s="79"/>
      <c r="D20" s="142"/>
      <c r="E20" s="75"/>
      <c r="F20" s="129"/>
      <c r="G20" s="129"/>
      <c r="H20" s="129"/>
      <c r="I20" s="129"/>
      <c r="J20" s="129"/>
      <c r="K20" s="147"/>
      <c r="L20" s="101"/>
    </row>
    <row r="21" spans="1:12" x14ac:dyDescent="0.2">
      <c r="A21" s="148"/>
      <c r="B21" s="79"/>
      <c r="C21" s="79"/>
      <c r="D21" s="142"/>
      <c r="E21" s="75"/>
      <c r="F21" s="129"/>
      <c r="G21" s="129"/>
      <c r="H21" s="129"/>
      <c r="I21" s="129"/>
      <c r="J21" s="129"/>
      <c r="K21" s="147"/>
      <c r="L21" s="101"/>
    </row>
    <row r="22" spans="1:12" x14ac:dyDescent="0.2">
      <c r="A22" s="148"/>
      <c r="B22" s="79"/>
      <c r="C22" s="79"/>
      <c r="D22" s="142"/>
      <c r="E22" s="75"/>
      <c r="F22" s="129"/>
      <c r="G22" s="129"/>
      <c r="H22" s="129"/>
      <c r="I22" s="129"/>
      <c r="J22" s="129"/>
      <c r="K22" s="147"/>
      <c r="L22" s="101"/>
    </row>
    <row r="23" spans="1:12" x14ac:dyDescent="0.2">
      <c r="A23" s="127"/>
      <c r="B23" s="79"/>
      <c r="C23" s="79"/>
      <c r="D23" s="142"/>
      <c r="E23" s="75"/>
      <c r="F23" s="129"/>
      <c r="G23" s="129"/>
      <c r="H23" s="129"/>
      <c r="I23" s="129"/>
      <c r="J23" s="129"/>
      <c r="K23" s="147"/>
      <c r="L23" s="101"/>
    </row>
    <row r="24" spans="1:12" x14ac:dyDescent="0.2">
      <c r="A24" s="127"/>
      <c r="B24" s="79"/>
      <c r="C24" s="79"/>
      <c r="D24" s="142"/>
      <c r="E24" s="75"/>
      <c r="F24" s="129"/>
      <c r="G24" s="129"/>
      <c r="H24" s="129"/>
      <c r="I24" s="129"/>
      <c r="J24" s="129"/>
      <c r="K24" s="147"/>
      <c r="L24" s="101"/>
    </row>
    <row r="25" spans="1:12" x14ac:dyDescent="0.2">
      <c r="A25" s="127"/>
      <c r="B25" s="79"/>
      <c r="C25" s="79"/>
      <c r="D25" s="142"/>
      <c r="E25" s="75"/>
      <c r="F25" s="129"/>
      <c r="G25" s="129"/>
      <c r="H25" s="129"/>
      <c r="I25" s="129"/>
      <c r="J25" s="129"/>
      <c r="K25" s="147"/>
      <c r="L25" s="101"/>
    </row>
    <row r="26" spans="1:12" x14ac:dyDescent="0.2">
      <c r="A26" s="127"/>
      <c r="B26" s="79"/>
      <c r="C26" s="79"/>
      <c r="D26" s="142"/>
      <c r="E26" s="75"/>
      <c r="F26" s="129"/>
      <c r="G26" s="129"/>
      <c r="H26" s="129"/>
      <c r="I26" s="129"/>
      <c r="J26" s="129"/>
      <c r="K26" s="147"/>
      <c r="L26" s="101"/>
    </row>
    <row r="27" spans="1:12" x14ac:dyDescent="0.2">
      <c r="A27" s="127"/>
      <c r="B27" s="79"/>
      <c r="C27" s="79"/>
      <c r="D27" s="142"/>
      <c r="E27" s="75"/>
      <c r="F27" s="129"/>
      <c r="G27" s="129"/>
      <c r="H27" s="129"/>
      <c r="I27" s="129"/>
      <c r="J27" s="129"/>
      <c r="K27" s="147"/>
      <c r="L27" s="101"/>
    </row>
    <row r="28" spans="1:12" x14ac:dyDescent="0.2">
      <c r="A28" s="57"/>
      <c r="B28" s="79"/>
      <c r="C28" s="79"/>
      <c r="D28" s="142"/>
      <c r="E28" s="75"/>
      <c r="F28" s="129"/>
      <c r="G28" s="129"/>
      <c r="H28" s="129"/>
      <c r="I28" s="129"/>
      <c r="J28" s="129"/>
      <c r="K28" s="147"/>
      <c r="L28" s="101"/>
    </row>
    <row r="29" spans="1:12" x14ac:dyDescent="0.2">
      <c r="A29" s="57"/>
      <c r="B29" s="79"/>
      <c r="C29" s="79"/>
      <c r="D29" s="142"/>
      <c r="E29" s="75"/>
      <c r="F29" s="129"/>
      <c r="G29" s="129"/>
      <c r="H29" s="129"/>
      <c r="I29" s="129"/>
      <c r="J29" s="129"/>
      <c r="K29" s="147"/>
      <c r="L29" s="101"/>
    </row>
    <row r="30" spans="1:12" x14ac:dyDescent="0.2">
      <c r="A30" s="57"/>
      <c r="B30" s="79"/>
      <c r="C30" s="79"/>
      <c r="D30" s="142"/>
      <c r="E30" s="75"/>
      <c r="F30" s="129"/>
      <c r="G30" s="129"/>
      <c r="H30" s="129"/>
      <c r="I30" s="129"/>
      <c r="J30" s="129"/>
      <c r="K30" s="147"/>
      <c r="L30" s="101"/>
    </row>
    <row r="31" spans="1:12" x14ac:dyDescent="0.2">
      <c r="A31" s="57"/>
      <c r="B31" s="79"/>
      <c r="C31" s="79"/>
      <c r="D31" s="142"/>
      <c r="E31" s="75"/>
      <c r="F31" s="129"/>
      <c r="G31" s="129"/>
      <c r="H31" s="129"/>
      <c r="I31" s="129"/>
      <c r="J31" s="129"/>
      <c r="K31" s="147"/>
      <c r="L31" s="101"/>
    </row>
    <row r="32" spans="1:12" x14ac:dyDescent="0.2">
      <c r="A32" s="57"/>
      <c r="B32" s="79"/>
      <c r="C32" s="79"/>
      <c r="D32" s="142"/>
      <c r="E32" s="75"/>
      <c r="F32" s="129"/>
      <c r="G32" s="129"/>
      <c r="H32" s="129"/>
      <c r="I32" s="129"/>
      <c r="J32" s="129"/>
      <c r="K32" s="147"/>
      <c r="L32" s="101"/>
    </row>
    <row r="33" spans="1:13" x14ac:dyDescent="0.2">
      <c r="A33" s="103"/>
      <c r="B33" s="79"/>
      <c r="C33" s="79"/>
      <c r="D33" s="142"/>
      <c r="E33" s="75"/>
      <c r="F33" s="129"/>
      <c r="G33" s="129"/>
      <c r="H33" s="129"/>
      <c r="I33" s="129"/>
      <c r="J33" s="129"/>
      <c r="K33" s="147"/>
      <c r="L33" s="101"/>
    </row>
    <row r="34" spans="1:13" x14ac:dyDescent="0.2">
      <c r="A34" s="103"/>
      <c r="B34" s="79"/>
      <c r="C34" s="79"/>
      <c r="D34" s="142"/>
      <c r="E34" s="75"/>
      <c r="F34" s="129"/>
      <c r="G34" s="129"/>
      <c r="H34" s="129"/>
      <c r="I34" s="129"/>
      <c r="J34" s="129"/>
      <c r="K34" s="147"/>
      <c r="L34" s="101"/>
    </row>
    <row r="35" spans="1:13" x14ac:dyDescent="0.2">
      <c r="A35" s="103"/>
      <c r="B35" s="79"/>
      <c r="C35" s="79"/>
      <c r="D35" s="142"/>
      <c r="E35" s="75"/>
      <c r="F35" s="129"/>
      <c r="G35" s="129"/>
      <c r="H35" s="129"/>
      <c r="I35" s="129"/>
      <c r="J35" s="129"/>
      <c r="K35" s="147"/>
      <c r="L35" s="101"/>
    </row>
    <row r="36" spans="1:13" x14ac:dyDescent="0.2">
      <c r="A36" s="103"/>
      <c r="B36" s="79"/>
      <c r="C36" s="79"/>
      <c r="D36" s="142"/>
      <c r="E36" s="75"/>
      <c r="F36" s="129"/>
      <c r="G36" s="129"/>
      <c r="H36" s="129"/>
      <c r="I36" s="129"/>
      <c r="J36" s="129"/>
      <c r="K36" s="147"/>
      <c r="L36" s="101"/>
    </row>
    <row r="37" spans="1:13" x14ac:dyDescent="0.2">
      <c r="A37" s="103"/>
      <c r="B37" s="79"/>
      <c r="C37" s="79"/>
      <c r="D37" s="142"/>
      <c r="E37" s="75"/>
      <c r="F37" s="129"/>
      <c r="G37" s="129"/>
      <c r="H37" s="129"/>
      <c r="I37" s="129"/>
      <c r="J37" s="129"/>
      <c r="K37"/>
      <c r="L37"/>
      <c r="M37"/>
    </row>
    <row r="38" spans="1:13" x14ac:dyDescent="0.2">
      <c r="A38" s="103"/>
      <c r="B38" s="79"/>
      <c r="C38" s="79"/>
      <c r="D38" s="142"/>
      <c r="E38" s="75"/>
      <c r="F38" s="129"/>
      <c r="G38" s="129"/>
      <c r="H38" s="129"/>
      <c r="I38" s="129"/>
      <c r="J38" s="129"/>
      <c r="K38"/>
      <c r="L38"/>
      <c r="M38"/>
    </row>
    <row r="39" spans="1:13" x14ac:dyDescent="0.2">
      <c r="A39" s="103"/>
      <c r="B39" s="79"/>
      <c r="C39" s="79"/>
      <c r="D39" s="142"/>
      <c r="E39" s="75"/>
      <c r="F39" s="129"/>
      <c r="G39" s="129"/>
      <c r="H39" s="129"/>
      <c r="I39" s="129"/>
      <c r="J39" s="129"/>
      <c r="K39"/>
      <c r="L39"/>
      <c r="M39"/>
    </row>
    <row r="40" spans="1:13" x14ac:dyDescent="0.2">
      <c r="A40" s="103"/>
      <c r="B40" s="79"/>
      <c r="C40" s="79"/>
      <c r="D40" s="142"/>
      <c r="E40" s="75"/>
      <c r="F40" s="129"/>
      <c r="G40" s="129"/>
      <c r="H40" s="129"/>
      <c r="I40" s="129"/>
      <c r="J40" s="129"/>
      <c r="K40"/>
      <c r="L40"/>
      <c r="M40"/>
    </row>
    <row r="41" spans="1:13" x14ac:dyDescent="0.2">
      <c r="A41" s="103"/>
      <c r="B41" s="79"/>
      <c r="C41" s="79"/>
      <c r="D41" s="142"/>
      <c r="E41" s="75"/>
      <c r="F41" s="129"/>
      <c r="G41" s="129"/>
      <c r="H41" s="129"/>
      <c r="I41" s="129"/>
      <c r="J41" s="129"/>
      <c r="K41"/>
      <c r="L41"/>
      <c r="M41"/>
    </row>
    <row r="42" spans="1:13" x14ac:dyDescent="0.2">
      <c r="A42" s="103"/>
      <c r="B42" s="79"/>
      <c r="C42" s="79"/>
      <c r="D42" s="142"/>
      <c r="E42" s="75"/>
      <c r="F42" s="129"/>
      <c r="G42" s="129"/>
      <c r="H42" s="129"/>
      <c r="I42" s="129"/>
      <c r="J42" s="129"/>
      <c r="K42" s="147"/>
      <c r="L42" s="101"/>
    </row>
    <row r="43" spans="1:13" x14ac:dyDescent="0.2">
      <c r="A43" s="150"/>
      <c r="B43" s="150"/>
      <c r="C43" s="150"/>
      <c r="D43" s="150"/>
      <c r="E43" s="150"/>
      <c r="F43" s="150"/>
      <c r="G43" s="150"/>
      <c r="H43" s="150"/>
      <c r="I43" s="150"/>
      <c r="J43" s="150"/>
    </row>
    <row r="44" spans="1:13" x14ac:dyDescent="0.2">
      <c r="A44" s="150"/>
      <c r="B44" s="150"/>
      <c r="C44" s="150"/>
      <c r="D44" s="150"/>
      <c r="E44" s="150"/>
      <c r="F44" s="150"/>
      <c r="G44" s="150"/>
      <c r="H44" s="150"/>
      <c r="I44" s="150"/>
      <c r="J44" s="150"/>
    </row>
    <row r="45" spans="1:13" x14ac:dyDescent="0.2">
      <c r="A45" s="150"/>
      <c r="B45" s="150"/>
      <c r="C45" s="150"/>
      <c r="D45" s="150"/>
      <c r="E45" s="150"/>
      <c r="F45" s="150"/>
      <c r="G45" s="150"/>
      <c r="H45" s="150"/>
      <c r="I45" s="150"/>
      <c r="J45" s="150"/>
    </row>
    <row r="46" spans="1:13" x14ac:dyDescent="0.2">
      <c r="A46" s="150"/>
      <c r="B46" s="150"/>
      <c r="C46" s="150"/>
      <c r="D46" s="150"/>
      <c r="E46" s="150"/>
      <c r="F46" s="150"/>
      <c r="G46" s="150"/>
      <c r="H46" s="150"/>
      <c r="I46" s="150"/>
      <c r="J46" s="150"/>
    </row>
    <row r="47" spans="1:13" x14ac:dyDescent="0.2">
      <c r="A47" s="150"/>
      <c r="B47" s="150"/>
      <c r="C47" s="150"/>
      <c r="D47" s="150"/>
      <c r="E47" s="150"/>
      <c r="F47" s="150"/>
      <c r="G47" s="150"/>
    </row>
    <row r="48" spans="1:13" x14ac:dyDescent="0.2">
      <c r="A48" s="150"/>
      <c r="B48" s="150"/>
      <c r="C48" s="150"/>
      <c r="D48" s="150"/>
      <c r="E48" s="150"/>
      <c r="F48" s="150"/>
      <c r="G48" s="150"/>
    </row>
    <row r="55" spans="10:12" x14ac:dyDescent="0.2">
      <c r="J55"/>
      <c r="K55"/>
      <c r="L55"/>
    </row>
    <row r="56" spans="10:12" x14ac:dyDescent="0.2">
      <c r="J56"/>
      <c r="K56"/>
      <c r="L56"/>
    </row>
    <row r="57" spans="10:12" x14ac:dyDescent="0.2">
      <c r="J57"/>
      <c r="K57"/>
      <c r="L57"/>
    </row>
    <row r="58" spans="10:12" x14ac:dyDescent="0.2">
      <c r="J58"/>
      <c r="K58"/>
      <c r="L58"/>
    </row>
    <row r="59" spans="10:12" x14ac:dyDescent="0.2">
      <c r="J59"/>
      <c r="K59"/>
      <c r="L59"/>
    </row>
  </sheetData>
  <mergeCells count="1">
    <mergeCell ref="C1:M1"/>
  </mergeCells>
  <printOptions horizontalCentered="1"/>
  <pageMargins left="0.5" right="0.5" top="0.5" bottom="0.5" header="0" footer="0"/>
  <pageSetup scale="74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/>
  <dimension ref="A1:AV190"/>
  <sheetViews>
    <sheetView showGridLines="0" workbookViewId="0">
      <pane xSplit="2" ySplit="16" topLeftCell="C17" activePane="bottomRight" state="frozen"/>
      <selection pane="topRight" activeCell="C1" sqref="C1"/>
      <selection pane="bottomLeft" activeCell="A17" sqref="A17"/>
      <selection pane="bottomRight" activeCell="A11" sqref="A11"/>
    </sheetView>
  </sheetViews>
  <sheetFormatPr defaultColWidth="8.85546875" defaultRowHeight="12.75" x14ac:dyDescent="0.2"/>
  <cols>
    <col min="1" max="2" width="8.85546875" style="65"/>
    <col min="3" max="3" width="11.140625" style="65" customWidth="1"/>
    <col min="4" max="4" width="16.28515625" style="65" customWidth="1"/>
    <col min="5" max="8" width="10.85546875" style="65" customWidth="1"/>
    <col min="9" max="9" width="11.140625" style="65" customWidth="1"/>
    <col min="10" max="10" width="11.85546875" style="65" customWidth="1"/>
    <col min="11" max="11" width="9.85546875" style="65" bestFit="1" customWidth="1"/>
    <col min="12" max="12" width="10.5703125" style="65" customWidth="1"/>
    <col min="13" max="14" width="10.5703125" style="65" bestFit="1" customWidth="1"/>
    <col min="15" max="15" width="8.85546875" style="65" customWidth="1"/>
    <col min="16" max="16" width="10.5703125" style="65" bestFit="1" customWidth="1"/>
    <col min="17" max="17" width="9.5703125" style="65" customWidth="1"/>
    <col min="18" max="18" width="8.85546875" style="65" customWidth="1"/>
    <col min="19" max="19" width="10.85546875" style="65" customWidth="1"/>
    <col min="20" max="20" width="11.140625" style="65" customWidth="1"/>
    <col min="21" max="21" width="9.28515625" style="65" customWidth="1"/>
    <col min="22" max="22" width="10.7109375" style="65" customWidth="1"/>
    <col min="23" max="23" width="10.5703125" style="65" customWidth="1"/>
    <col min="24" max="24" width="11" style="65" customWidth="1"/>
    <col min="25" max="25" width="9.140625"/>
    <col min="26" max="26" width="13" style="65" customWidth="1"/>
    <col min="27" max="28" width="8.85546875" style="65"/>
    <col min="29" max="29" width="12.140625" style="65" bestFit="1" customWidth="1"/>
    <col min="30" max="39" width="8.85546875" style="65"/>
    <col min="40" max="40" width="15.85546875" style="65" customWidth="1"/>
    <col min="41" max="43" width="8.85546875" style="65"/>
    <col min="44" max="48" width="8.85546875" style="150"/>
    <col min="49" max="16384" width="8.85546875" style="65"/>
  </cols>
  <sheetData>
    <row r="1" spans="1:48" x14ac:dyDescent="0.2">
      <c r="P1" s="50"/>
      <c r="Q1" s="50"/>
      <c r="Z1" s="89" t="s">
        <v>51</v>
      </c>
      <c r="AA1" s="91"/>
      <c r="AB1" s="91"/>
      <c r="AC1" s="112"/>
      <c r="AD1" s="112"/>
    </row>
    <row r="2" spans="1:48" x14ac:dyDescent="0.2">
      <c r="Z2" s="21"/>
      <c r="AA2" s="37"/>
      <c r="AB2" s="9" t="s">
        <v>67</v>
      </c>
      <c r="AC2" s="9" t="s">
        <v>52</v>
      </c>
      <c r="AD2" s="126" t="s">
        <v>0</v>
      </c>
      <c r="AE2" s="113" t="s">
        <v>28</v>
      </c>
    </row>
    <row r="3" spans="1:48" x14ac:dyDescent="0.2">
      <c r="P3" s="61"/>
      <c r="Q3" s="61"/>
      <c r="Z3" s="108" t="s">
        <v>83</v>
      </c>
      <c r="AA3" s="84"/>
      <c r="AB3" s="10">
        <v>130</v>
      </c>
      <c r="AC3" s="54"/>
      <c r="AD3" s="30"/>
      <c r="AE3" s="36"/>
    </row>
    <row r="4" spans="1:48" x14ac:dyDescent="0.2">
      <c r="Z4" s="108" t="s">
        <v>22</v>
      </c>
      <c r="AA4" s="84"/>
      <c r="AB4" s="10">
        <v>485</v>
      </c>
      <c r="AC4" s="54"/>
      <c r="AD4" s="30"/>
      <c r="AE4" s="36"/>
      <c r="AN4" s="168" t="s">
        <v>30</v>
      </c>
      <c r="AO4" s="169"/>
      <c r="AP4" s="170"/>
      <c r="AR4" s="167"/>
      <c r="AS4" s="167"/>
      <c r="AT4" s="167"/>
    </row>
    <row r="5" spans="1:48" ht="15.75" x14ac:dyDescent="0.25">
      <c r="A5" s="160" t="s">
        <v>11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91"/>
      <c r="R5" s="3"/>
      <c r="S5" s="3"/>
      <c r="T5" s="3"/>
      <c r="U5" s="3"/>
      <c r="V5" s="3"/>
      <c r="W5" s="3"/>
      <c r="X5" s="3"/>
      <c r="Z5" s="108" t="s">
        <v>32</v>
      </c>
      <c r="AA5" s="84"/>
      <c r="AB5" s="54"/>
      <c r="AC5" s="35">
        <v>0</v>
      </c>
      <c r="AD5" s="35">
        <v>0</v>
      </c>
      <c r="AE5" s="114">
        <v>30</v>
      </c>
      <c r="AN5" s="135" t="s">
        <v>45</v>
      </c>
      <c r="AO5" s="135" t="s">
        <v>34</v>
      </c>
      <c r="AP5" s="135" t="s">
        <v>56</v>
      </c>
      <c r="AR5" s="23"/>
      <c r="AS5" s="23"/>
      <c r="AT5" s="23"/>
    </row>
    <row r="6" spans="1:48" x14ac:dyDescent="0.2">
      <c r="A6" s="147"/>
      <c r="B6" s="3"/>
      <c r="C6" s="3"/>
      <c r="D6" s="147"/>
      <c r="E6" s="147"/>
      <c r="F6" s="147"/>
      <c r="G6" s="147"/>
      <c r="H6" s="147"/>
      <c r="I6" s="147"/>
      <c r="J6" s="147"/>
      <c r="K6" s="3"/>
      <c r="L6" s="3"/>
      <c r="M6" s="3"/>
      <c r="N6" s="147"/>
      <c r="O6" s="3"/>
      <c r="P6" s="3"/>
      <c r="Q6" s="3"/>
      <c r="R6" s="3"/>
      <c r="S6" s="3"/>
      <c r="T6" s="3"/>
      <c r="U6" s="3"/>
      <c r="V6" s="3"/>
      <c r="W6" s="3"/>
      <c r="X6" s="3"/>
      <c r="Z6" s="108" t="s">
        <v>29</v>
      </c>
      <c r="AA6" s="84"/>
      <c r="AB6" s="54"/>
      <c r="AC6" s="96">
        <v>70</v>
      </c>
      <c r="AD6" s="10">
        <v>24</v>
      </c>
      <c r="AE6" s="87">
        <v>35</v>
      </c>
      <c r="AN6" s="131" t="s">
        <v>47</v>
      </c>
      <c r="AO6" s="131" t="s">
        <v>25</v>
      </c>
      <c r="AP6" s="131" t="s">
        <v>25</v>
      </c>
      <c r="AR6" s="23"/>
      <c r="AS6" s="23"/>
      <c r="AT6" s="23"/>
    </row>
    <row r="7" spans="1:48" ht="12.4" customHeight="1" x14ac:dyDescent="0.2">
      <c r="A7" s="67" t="s">
        <v>93</v>
      </c>
      <c r="B7" s="147"/>
      <c r="C7" s="147"/>
      <c r="D7" s="3"/>
      <c r="E7" s="3"/>
      <c r="F7" s="3"/>
      <c r="G7" s="3"/>
      <c r="H7" s="3"/>
      <c r="I7" s="3"/>
      <c r="J7" s="3"/>
      <c r="K7" s="147"/>
      <c r="L7" s="65" t="s">
        <v>41</v>
      </c>
      <c r="P7" s="49" t="s">
        <v>31</v>
      </c>
      <c r="Q7" s="49"/>
      <c r="R7" s="3"/>
      <c r="S7" s="3"/>
      <c r="T7" s="3"/>
      <c r="U7" s="3"/>
      <c r="V7" s="3"/>
      <c r="W7" s="3"/>
      <c r="X7" s="3"/>
      <c r="Z7" s="2" t="s">
        <v>24</v>
      </c>
      <c r="AA7" s="70"/>
      <c r="AB7" s="38"/>
      <c r="AC7" s="96">
        <v>0</v>
      </c>
      <c r="AD7" s="24"/>
      <c r="AE7" s="87">
        <v>30</v>
      </c>
      <c r="AN7" s="45" t="s">
        <v>82</v>
      </c>
      <c r="AO7" s="46">
        <v>1</v>
      </c>
      <c r="AP7" s="46">
        <f t="shared" ref="AP7:AP27" si="0">AO7-AO8</f>
        <v>0</v>
      </c>
      <c r="AR7" s="117" t="s">
        <v>82</v>
      </c>
      <c r="AS7" s="118"/>
      <c r="AT7" s="118"/>
      <c r="AU7" s="104"/>
      <c r="AV7" s="104"/>
    </row>
    <row r="8" spans="1:48" ht="12.4" customHeight="1" x14ac:dyDescent="0.2">
      <c r="A8" s="67" t="s">
        <v>94</v>
      </c>
      <c r="B8" s="147"/>
      <c r="C8" s="147"/>
      <c r="D8" s="147"/>
      <c r="E8" s="147"/>
      <c r="F8" s="147"/>
      <c r="G8" s="147"/>
      <c r="H8" s="147"/>
      <c r="I8" s="147"/>
      <c r="J8" s="147"/>
      <c r="K8" s="147"/>
      <c r="L8" s="65" t="s">
        <v>92</v>
      </c>
      <c r="P8" s="29">
        <v>6068.3</v>
      </c>
      <c r="Q8" s="52"/>
      <c r="R8" s="3"/>
      <c r="S8" s="3"/>
      <c r="T8" s="3"/>
      <c r="U8" s="3"/>
      <c r="V8" s="3"/>
      <c r="W8" s="3"/>
      <c r="X8" s="3"/>
      <c r="Z8" s="141" t="s">
        <v>81</v>
      </c>
      <c r="AA8" s="151"/>
      <c r="AB8" s="111"/>
      <c r="AC8" s="20">
        <v>50</v>
      </c>
      <c r="AD8" s="152"/>
      <c r="AE8" s="12">
        <v>25</v>
      </c>
      <c r="AN8" s="73">
        <f>E135</f>
        <v>1.6734164623289749E-3</v>
      </c>
      <c r="AO8" s="46">
        <f>B135</f>
        <v>1</v>
      </c>
      <c r="AP8" s="46">
        <f t="shared" si="0"/>
        <v>1.8287107589143314E-4</v>
      </c>
      <c r="AR8" s="159">
        <v>1.8387307309880479E-3</v>
      </c>
      <c r="AS8" s="118"/>
      <c r="AT8" s="118"/>
      <c r="AU8" s="19"/>
      <c r="AV8" s="39"/>
    </row>
    <row r="9" spans="1:48" ht="12.4" customHeight="1" x14ac:dyDescent="0.2">
      <c r="A9" s="100" t="s">
        <v>95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92" t="s">
        <v>75</v>
      </c>
      <c r="N9" s="147"/>
      <c r="O9" s="147"/>
      <c r="P9" s="29">
        <f>MAX(V18:V136)</f>
        <v>2.1962670087397971</v>
      </c>
      <c r="Q9" s="72"/>
      <c r="R9" s="3"/>
      <c r="S9" s="3"/>
      <c r="T9" s="3"/>
      <c r="U9" s="3"/>
      <c r="V9" s="3"/>
      <c r="W9" s="3"/>
      <c r="X9" s="3"/>
      <c r="Z9" s="28" t="s">
        <v>10</v>
      </c>
      <c r="AA9" s="70"/>
      <c r="AB9" s="70"/>
      <c r="AC9" s="138">
        <f>ABS($AC$6*COS($AC$5*PI()/180))</f>
        <v>70</v>
      </c>
      <c r="AD9" s="138">
        <f>ABS($AD$6*COS($AD$5*PI()/180))</f>
        <v>24</v>
      </c>
      <c r="AE9" s="110">
        <f>ABS($AE$6*COS($AE$5*PI()/180))</f>
        <v>30.310889132455355</v>
      </c>
      <c r="AN9" s="73">
        <f>E133</f>
        <v>2.002474605646184E-3</v>
      </c>
      <c r="AO9" s="46">
        <f>B133</f>
        <v>0.99981712892410857</v>
      </c>
      <c r="AP9" s="46">
        <f t="shared" si="0"/>
        <v>1.0484608351112534E-2</v>
      </c>
      <c r="AR9" s="159">
        <v>2.3796891258599209E-3</v>
      </c>
      <c r="AS9" s="118"/>
      <c r="AT9" s="118"/>
      <c r="AU9" s="19"/>
      <c r="AV9" s="39"/>
    </row>
    <row r="10" spans="1:48" ht="12.4" customHeight="1" x14ac:dyDescent="0.2">
      <c r="A10" s="14" t="s">
        <v>96</v>
      </c>
      <c r="B10" s="147"/>
      <c r="C10" s="147"/>
      <c r="D10" s="3"/>
      <c r="E10" s="3"/>
      <c r="F10" s="3"/>
      <c r="G10" s="3"/>
      <c r="H10" s="3"/>
      <c r="I10" s="3"/>
      <c r="J10" s="3"/>
      <c r="K10" s="147"/>
      <c r="L10" s="92" t="s">
        <v>53</v>
      </c>
      <c r="N10" s="147"/>
      <c r="O10" s="147"/>
      <c r="P10" s="33">
        <f>'Raw Data'!M10</f>
        <v>0.14921824370284179</v>
      </c>
      <c r="Q10" s="33"/>
      <c r="R10" s="3"/>
      <c r="S10" s="3"/>
      <c r="T10" s="3"/>
      <c r="U10" s="3"/>
      <c r="V10" s="3"/>
      <c r="W10" s="3"/>
      <c r="X10" s="3"/>
      <c r="Z10" s="153" t="s">
        <v>61</v>
      </c>
      <c r="AA10" s="151"/>
      <c r="AB10" s="151"/>
      <c r="AC10" s="121">
        <f>ABS($AC$8*COS($AC$7*PI()/180))</f>
        <v>50</v>
      </c>
      <c r="AD10" s="111"/>
      <c r="AE10" s="34">
        <f>ABS($AE$8*COS($AE$7*PI()/180))</f>
        <v>21.650635094610969</v>
      </c>
      <c r="AN10" s="73">
        <f>E125</f>
        <v>4.1112835839431398E-3</v>
      </c>
      <c r="AO10" s="46">
        <f>$B125</f>
        <v>0.98933252057299603</v>
      </c>
      <c r="AP10" s="46">
        <f t="shared" si="0"/>
        <v>1.5422127400183006E-2</v>
      </c>
      <c r="AR10" s="159">
        <v>4.918869133300207E-3</v>
      </c>
      <c r="AS10" s="118"/>
      <c r="AT10" s="118"/>
      <c r="AU10" s="19"/>
      <c r="AV10" s="39"/>
    </row>
    <row r="11" spans="1:48" ht="12.4" customHeight="1" x14ac:dyDescent="0.2">
      <c r="A11" s="14"/>
      <c r="B11" s="147"/>
      <c r="C11" s="147"/>
      <c r="D11" s="3"/>
      <c r="E11" s="3"/>
      <c r="F11" s="3"/>
      <c r="G11" s="3"/>
      <c r="H11" s="3"/>
      <c r="I11" s="3"/>
      <c r="J11" s="3"/>
      <c r="K11" s="147"/>
      <c r="L11" s="65" t="s">
        <v>23</v>
      </c>
      <c r="P11" s="120">
        <f>'Raw Data'!M11</f>
        <v>2.6791143890057936</v>
      </c>
      <c r="Q11" s="120"/>
      <c r="R11" s="3"/>
      <c r="V11" s="3"/>
      <c r="W11" s="3"/>
      <c r="X11" s="3"/>
      <c r="Z11" s="147"/>
      <c r="AA11" s="22" t="s">
        <v>48</v>
      </c>
      <c r="AB11" s="27"/>
      <c r="AC11" s="27"/>
      <c r="AD11" s="115"/>
      <c r="AN11" s="73">
        <f>E120</f>
        <v>6.4131608752835316E-3</v>
      </c>
      <c r="AO11" s="46">
        <f>$B120</f>
        <v>0.97391039317281303</v>
      </c>
      <c r="AP11" s="46">
        <f t="shared" si="0"/>
        <v>1.334958854007906E-2</v>
      </c>
      <c r="AR11" s="159">
        <v>7.6659819593601552E-3</v>
      </c>
      <c r="AS11" s="118"/>
      <c r="AT11" s="118"/>
      <c r="AU11" s="19"/>
      <c r="AV11" s="39"/>
    </row>
    <row r="12" spans="1:48" ht="12.4" customHeight="1" x14ac:dyDescent="0.2">
      <c r="B12" s="147"/>
      <c r="C12" s="147"/>
      <c r="D12" s="156"/>
      <c r="E12" s="147"/>
      <c r="F12" s="147"/>
      <c r="G12" s="147"/>
      <c r="H12" s="147"/>
      <c r="I12" s="147"/>
      <c r="J12" s="147"/>
      <c r="K12" s="147"/>
      <c r="L12" s="147"/>
      <c r="M12" s="92"/>
      <c r="N12" s="147"/>
      <c r="O12" s="147"/>
      <c r="P12" s="68"/>
      <c r="Q12" s="68"/>
      <c r="R12" s="3"/>
      <c r="S12" s="3"/>
      <c r="T12" s="3"/>
      <c r="U12" s="3"/>
      <c r="V12" s="3"/>
      <c r="W12" s="3"/>
      <c r="X12" s="3"/>
      <c r="Z12" s="147"/>
      <c r="AA12" s="40" t="s">
        <v>72</v>
      </c>
      <c r="AB12" s="37"/>
      <c r="AC12" s="71">
        <v>0.433</v>
      </c>
      <c r="AD12" s="3"/>
      <c r="AN12" s="46">
        <f>E117</f>
        <v>8.415729489498364E-3</v>
      </c>
      <c r="AO12" s="46">
        <f>$B117</f>
        <v>0.96056080463273397</v>
      </c>
      <c r="AP12" s="46">
        <f t="shared" si="0"/>
        <v>6.4126790612618279E-2</v>
      </c>
      <c r="AR12" s="118">
        <v>1.0017670706649362E-2</v>
      </c>
      <c r="AS12" s="118"/>
      <c r="AT12" s="118"/>
      <c r="AU12" s="19"/>
      <c r="AV12" s="39"/>
    </row>
    <row r="13" spans="1:48" ht="12.4" customHeight="1" x14ac:dyDescent="0.2">
      <c r="Z13" s="147"/>
      <c r="AA13" s="2" t="s">
        <v>14</v>
      </c>
      <c r="AB13" s="70"/>
      <c r="AC13" s="7">
        <v>0.34599999999999997</v>
      </c>
      <c r="AD13" s="147"/>
      <c r="AN13" s="46">
        <f>E107</f>
        <v>2.0663568716402042E-2</v>
      </c>
      <c r="AO13" s="46">
        <f>$B107</f>
        <v>0.89643401402011569</v>
      </c>
      <c r="AP13" s="46">
        <f t="shared" si="0"/>
        <v>6.577263029564151E-2</v>
      </c>
      <c r="AR13" s="118">
        <v>2.4302503920103202E-2</v>
      </c>
      <c r="AS13" s="118"/>
      <c r="AT13" s="118"/>
      <c r="AU13" s="19"/>
      <c r="AV13" s="39"/>
    </row>
    <row r="14" spans="1:48" ht="12.4" customHeight="1" x14ac:dyDescent="0.2">
      <c r="A14" s="137" t="s">
        <v>85</v>
      </c>
      <c r="B14" s="137" t="s">
        <v>63</v>
      </c>
      <c r="C14" s="137" t="s">
        <v>46</v>
      </c>
      <c r="D14" s="145" t="s">
        <v>91</v>
      </c>
      <c r="E14" s="137" t="s">
        <v>89</v>
      </c>
      <c r="F14" s="137" t="s">
        <v>89</v>
      </c>
      <c r="G14" s="137" t="s">
        <v>13</v>
      </c>
      <c r="H14" s="137" t="s">
        <v>16</v>
      </c>
      <c r="I14" s="137" t="s">
        <v>68</v>
      </c>
      <c r="J14" s="137" t="s">
        <v>80</v>
      </c>
      <c r="K14" s="137"/>
      <c r="L14" s="8" t="s">
        <v>86</v>
      </c>
      <c r="M14" s="124"/>
      <c r="N14" s="155"/>
      <c r="O14" s="8" t="s">
        <v>17</v>
      </c>
      <c r="P14" s="155"/>
      <c r="Q14" s="155" t="s">
        <v>7</v>
      </c>
      <c r="R14" s="137" t="s">
        <v>63</v>
      </c>
      <c r="S14" s="137" t="s">
        <v>38</v>
      </c>
      <c r="T14" s="137" t="s">
        <v>59</v>
      </c>
      <c r="U14" s="137"/>
      <c r="V14" s="137" t="s">
        <v>27</v>
      </c>
      <c r="W14" s="137" t="s">
        <v>87</v>
      </c>
      <c r="X14" s="137" t="s">
        <v>87</v>
      </c>
      <c r="Z14" s="147"/>
      <c r="AA14" s="141" t="s">
        <v>12</v>
      </c>
      <c r="AB14" s="151"/>
      <c r="AC14" s="81">
        <v>0.1</v>
      </c>
      <c r="AD14" s="147"/>
      <c r="AN14" s="46">
        <f>E99</f>
        <v>4.2478742961356064E-2</v>
      </c>
      <c r="AO14" s="46">
        <f>$B99</f>
        <v>0.83066138372447418</v>
      </c>
      <c r="AP14" s="46">
        <f t="shared" si="0"/>
        <v>3.6696129228893648E-2</v>
      </c>
      <c r="AR14" s="118">
        <v>4.9484801750667114E-2</v>
      </c>
      <c r="AS14" s="118"/>
      <c r="AT14" s="118"/>
      <c r="AU14" s="19"/>
      <c r="AV14" s="39"/>
    </row>
    <row r="15" spans="1:48" ht="12.4" customHeight="1" x14ac:dyDescent="0.2">
      <c r="A15" s="97" t="s">
        <v>78</v>
      </c>
      <c r="B15" s="97" t="s">
        <v>5</v>
      </c>
      <c r="C15" s="97" t="s">
        <v>5</v>
      </c>
      <c r="D15" s="102" t="s">
        <v>70</v>
      </c>
      <c r="E15" s="97" t="s">
        <v>79</v>
      </c>
      <c r="F15" s="97" t="s">
        <v>54</v>
      </c>
      <c r="G15" s="97" t="s">
        <v>33</v>
      </c>
      <c r="H15" s="97" t="s">
        <v>33</v>
      </c>
      <c r="I15" s="97" t="s">
        <v>76</v>
      </c>
      <c r="J15" s="97" t="s">
        <v>76</v>
      </c>
      <c r="K15" s="97" t="s">
        <v>88</v>
      </c>
      <c r="L15" s="137" t="s">
        <v>74</v>
      </c>
      <c r="M15" s="137" t="s">
        <v>4</v>
      </c>
      <c r="N15" s="137" t="s">
        <v>42</v>
      </c>
      <c r="O15" s="93" t="s">
        <v>1</v>
      </c>
      <c r="P15" s="82"/>
      <c r="Q15" s="82" t="s">
        <v>8</v>
      </c>
      <c r="R15" s="97" t="s">
        <v>34</v>
      </c>
      <c r="S15" s="97" t="s">
        <v>44</v>
      </c>
      <c r="T15" s="97" t="s">
        <v>87</v>
      </c>
      <c r="U15" s="97" t="s">
        <v>27</v>
      </c>
      <c r="V15" s="97" t="s">
        <v>87</v>
      </c>
      <c r="W15" s="97" t="s">
        <v>43</v>
      </c>
      <c r="X15" s="97" t="s">
        <v>43</v>
      </c>
      <c r="Z15" s="3"/>
      <c r="AN15" s="46">
        <f>E95</f>
        <v>6.0744356819749885E-2</v>
      </c>
      <c r="AO15" s="46">
        <f>$B95</f>
        <v>0.79396525449558053</v>
      </c>
      <c r="AP15" s="46">
        <f t="shared" si="0"/>
        <v>4.22432185309356E-2</v>
      </c>
      <c r="AR15" s="118">
        <v>7.1632047862346573E-2</v>
      </c>
      <c r="AS15" s="118"/>
      <c r="AT15" s="118"/>
      <c r="AU15" s="19"/>
      <c r="AV15" s="39"/>
    </row>
    <row r="16" spans="1:48" ht="12.4" customHeight="1" x14ac:dyDescent="0.2">
      <c r="A16" s="133" t="s">
        <v>49</v>
      </c>
      <c r="B16" s="133" t="s">
        <v>25</v>
      </c>
      <c r="C16" s="133" t="s">
        <v>25</v>
      </c>
      <c r="D16" s="139" t="s">
        <v>25</v>
      </c>
      <c r="E16" s="133" t="s">
        <v>55</v>
      </c>
      <c r="F16" s="133" t="s">
        <v>64</v>
      </c>
      <c r="G16" s="133" t="s">
        <v>60</v>
      </c>
      <c r="H16" s="133" t="s">
        <v>60</v>
      </c>
      <c r="I16" s="133" t="s">
        <v>55</v>
      </c>
      <c r="J16" s="133" t="s">
        <v>55</v>
      </c>
      <c r="K16" s="133" t="s">
        <v>69</v>
      </c>
      <c r="L16" s="133" t="s">
        <v>49</v>
      </c>
      <c r="M16" s="133" t="s">
        <v>49</v>
      </c>
      <c r="N16" s="133" t="s">
        <v>49</v>
      </c>
      <c r="O16" s="98" t="s">
        <v>66</v>
      </c>
      <c r="P16" s="98" t="s">
        <v>35</v>
      </c>
      <c r="Q16" s="133" t="s">
        <v>71</v>
      </c>
      <c r="R16" s="133" t="s">
        <v>21</v>
      </c>
      <c r="S16" s="133" t="s">
        <v>20</v>
      </c>
      <c r="T16" s="133"/>
      <c r="U16" s="133"/>
      <c r="V16" s="56"/>
      <c r="W16" s="139" t="s">
        <v>6</v>
      </c>
      <c r="X16" s="139" t="s">
        <v>90</v>
      </c>
      <c r="Z16" s="92" t="s">
        <v>73</v>
      </c>
      <c r="AA16" s="3"/>
      <c r="AB16" s="3"/>
      <c r="AC16" s="11">
        <f>ABS(Table!$AB$4*COS(Table!$AB$3*PI()/180))</f>
        <v>311.75199069797156</v>
      </c>
      <c r="AN16" s="46">
        <f>E91</f>
        <v>8.7387976865084108E-2</v>
      </c>
      <c r="AO16" s="46">
        <f>$B91</f>
        <v>0.75172203596464493</v>
      </c>
      <c r="AP16" s="46">
        <f t="shared" si="0"/>
        <v>0.11819567205120396</v>
      </c>
      <c r="AR16" s="118">
        <v>9.9921582517046942E-2</v>
      </c>
      <c r="AS16" s="118"/>
      <c r="AT16" s="118"/>
      <c r="AU16" s="19"/>
      <c r="AV16" s="39"/>
    </row>
    <row r="17" spans="1:48" ht="12.4" customHeight="1" x14ac:dyDescent="0.2">
      <c r="A17" s="59"/>
      <c r="B17" s="158"/>
      <c r="C17" s="3"/>
      <c r="D17" s="15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147"/>
      <c r="S17" s="147"/>
      <c r="T17" s="147"/>
      <c r="U17" s="147"/>
      <c r="V17" s="147"/>
      <c r="W17" s="147"/>
      <c r="X17" s="147"/>
      <c r="AC17" s="88">
        <f ca="1">FORECAST(200,OFFSET(L$17,MATCH(200,L$18:L136, 1),-9,2,1),OFFSET(L$17,MATCH(200,L$18:L136, 1),0,2,1))</f>
        <v>0.26851090146877421</v>
      </c>
      <c r="AN17" s="46">
        <f>E81</f>
        <v>0.21381444772355682</v>
      </c>
      <c r="AO17" s="46">
        <f>$B81</f>
        <v>0.63352636391344097</v>
      </c>
      <c r="AP17" s="46">
        <f t="shared" si="0"/>
        <v>0.11782992989942087</v>
      </c>
      <c r="AR17" s="118">
        <v>0.25452110435346964</v>
      </c>
      <c r="AS17" s="118"/>
      <c r="AT17" s="118"/>
      <c r="AU17" s="19"/>
      <c r="AV17" s="39"/>
    </row>
    <row r="18" spans="1:48" ht="12.4" customHeight="1" x14ac:dyDescent="0.2">
      <c r="A18" s="59">
        <v>1.5251665115356445</v>
      </c>
      <c r="B18" s="158">
        <v>0</v>
      </c>
      <c r="C18" s="158">
        <f t="shared" ref="C18:C136" si="1">1-B18</f>
        <v>1</v>
      </c>
      <c r="D18" s="60">
        <f t="shared" ref="D18:D136" si="2">B18-B17</f>
        <v>0</v>
      </c>
      <c r="E18" s="58">
        <f>(2*Table!$AC$16*0.147)/A18</f>
        <v>60.095133594900979</v>
      </c>
      <c r="F18" s="58">
        <f t="shared" ref="F18:F136" si="3">E18*2</f>
        <v>120.19026718980196</v>
      </c>
      <c r="G18" s="59">
        <f>IF((('Raw Data'!C18)/('Raw Data'!C$136)*100)&lt;0,0,('Raw Data'!C18)/('Raw Data'!C$136)*100)</f>
        <v>0</v>
      </c>
      <c r="H18" s="59">
        <f t="shared" ref="H18:H136" si="4">G18-G17</f>
        <v>0</v>
      </c>
      <c r="I18" s="99">
        <f t="shared" ref="I18:I136" si="5">IF(E17&gt;0,LOG(E17)-LOG(E18), LOG(E18))</f>
        <v>1.7788393049736069</v>
      </c>
      <c r="J18" s="58">
        <f>'Raw Data'!F18/I18</f>
        <v>0</v>
      </c>
      <c r="K18" s="74">
        <f t="shared" ref="K18:K136" si="6">(0.2166095*A18*(SQRT(P$9/P$10)))/(485*-COS(RADIANS(130)))</f>
        <v>4.0655296452381841E-3</v>
      </c>
      <c r="L18" s="59">
        <f>A18*Table!$AC$9/$AC$16</f>
        <v>0.3424570138861659</v>
      </c>
      <c r="M18" s="59">
        <f>A18*Table!$AD$9/$AC$16</f>
        <v>0.11741383333239974</v>
      </c>
      <c r="N18" s="59">
        <f>ABS(A18*Table!$AE$9/$AC$16)</f>
        <v>0.14828823686479001</v>
      </c>
      <c r="O18" s="59">
        <f>($L18*(Table!$AC$10/Table!$AC$9)/(Table!$AC$12-Table!$AC$14))</f>
        <v>0.73457102935685525</v>
      </c>
      <c r="P18" s="59">
        <f>ROUND(($N18*(Table!$AE$10/Table!$AE$9)/(Table!$AC$12-Table!$AC$13)),2)</f>
        <v>1.22</v>
      </c>
      <c r="Q18" s="59">
        <f>'Raw Data'!C18</f>
        <v>0</v>
      </c>
      <c r="R18" s="59">
        <f>'Raw Data'!C18/'Raw Data'!I$30*100</f>
        <v>0</v>
      </c>
      <c r="S18" s="109">
        <f t="shared" ref="S18:S136" si="7">D18/MAX($D$18:$D$136)</f>
        <v>0</v>
      </c>
      <c r="T18" s="109">
        <f t="shared" ref="T18:T136" si="8">1-(X18/$X$136)</f>
        <v>1</v>
      </c>
      <c r="U18" s="77">
        <f t="shared" ref="U18:U136" si="9">R18/A18</f>
        <v>0</v>
      </c>
      <c r="V18" s="77">
        <f t="shared" ref="V18:V136" si="10">(U18^1.691)*399</f>
        <v>0</v>
      </c>
      <c r="W18" s="77">
        <f t="shared" ref="W18:W136" si="11">((E18*E18)/8)*S18</f>
        <v>0</v>
      </c>
      <c r="X18" s="86">
        <f t="shared" ref="X18:X136" si="12">W18+X17</f>
        <v>0</v>
      </c>
      <c r="Z18" s="69"/>
      <c r="AA18" s="3"/>
      <c r="AB18" s="3"/>
      <c r="AC18" s="42"/>
      <c r="AN18" s="46">
        <f>E73</f>
        <v>0.44121117870233717</v>
      </c>
      <c r="AO18" s="46">
        <f>$B73</f>
        <v>0.5156964340140201</v>
      </c>
      <c r="AP18" s="46">
        <f t="shared" si="0"/>
        <v>0.10923498933252063</v>
      </c>
      <c r="AR18" s="118">
        <v>0.47874420207019219</v>
      </c>
      <c r="AS18" s="118"/>
      <c r="AT18" s="118"/>
      <c r="AU18" s="19"/>
      <c r="AV18" s="39"/>
    </row>
    <row r="19" spans="1:48" ht="12.4" customHeight="1" x14ac:dyDescent="0.2">
      <c r="A19" s="59">
        <v>1.6010434627532959</v>
      </c>
      <c r="B19" s="158">
        <v>0</v>
      </c>
      <c r="C19" s="158">
        <f t="shared" si="1"/>
        <v>1</v>
      </c>
      <c r="D19" s="60">
        <f t="shared" si="2"/>
        <v>0</v>
      </c>
      <c r="E19" s="58">
        <f>(2*Table!$AC$16*0.147)/A19</f>
        <v>57.247093784440708</v>
      </c>
      <c r="F19" s="58">
        <f t="shared" si="3"/>
        <v>114.49418756888142</v>
      </c>
      <c r="G19" s="59">
        <f>IF((('Raw Data'!C19)/('Raw Data'!C$136)*100)&lt;0,0,('Raw Data'!C19)/('Raw Data'!C$136)*100)</f>
        <v>0</v>
      </c>
      <c r="H19" s="59">
        <f t="shared" si="4"/>
        <v>0</v>
      </c>
      <c r="I19" s="99">
        <f t="shared" si="5"/>
        <v>2.1085860868535811E-2</v>
      </c>
      <c r="J19" s="58">
        <f>'Raw Data'!F19/I19</f>
        <v>0</v>
      </c>
      <c r="K19" s="74">
        <f t="shared" si="6"/>
        <v>4.2677895245578886E-3</v>
      </c>
      <c r="L19" s="59">
        <f>A19*Table!$AC$9/$AC$16</f>
        <v>0.35949423175073864</v>
      </c>
      <c r="M19" s="59">
        <f>A19*Table!$AD$9/$AC$16</f>
        <v>0.12325516517168182</v>
      </c>
      <c r="N19" s="59">
        <f>ABS(A19*Table!$AE$9/$AC$16)</f>
        <v>0.15566556860505501</v>
      </c>
      <c r="O19" s="59">
        <f>($L19*(Table!$AC$10/Table!$AC$9)/(Table!$AC$12-Table!$AC$14))</f>
        <v>0.77111589822123272</v>
      </c>
      <c r="P19" s="59">
        <f>ROUND(($N19*(Table!$AE$10/Table!$AE$9)/(Table!$AC$12-Table!$AC$13)),2)</f>
        <v>1.28</v>
      </c>
      <c r="Q19" s="59">
        <f>'Raw Data'!C19</f>
        <v>0</v>
      </c>
      <c r="R19" s="59">
        <f>'Raw Data'!C19/'Raw Data'!I$30*100</f>
        <v>0</v>
      </c>
      <c r="S19" s="109">
        <f t="shared" si="7"/>
        <v>0</v>
      </c>
      <c r="T19" s="109">
        <f t="shared" si="8"/>
        <v>1</v>
      </c>
      <c r="U19" s="77">
        <f t="shared" si="9"/>
        <v>0</v>
      </c>
      <c r="V19" s="77">
        <f t="shared" si="10"/>
        <v>0</v>
      </c>
      <c r="W19" s="77">
        <f t="shared" si="11"/>
        <v>0</v>
      </c>
      <c r="X19" s="86">
        <f t="shared" si="12"/>
        <v>0</v>
      </c>
      <c r="AN19" s="46">
        <f>E68</f>
        <v>0.69351213831620928</v>
      </c>
      <c r="AO19" s="46">
        <f>$B68</f>
        <v>0.40646144468149947</v>
      </c>
      <c r="AP19" s="46">
        <f t="shared" si="0"/>
        <v>0.28808290155440408</v>
      </c>
      <c r="AR19" s="118">
        <v>0.74938444802644799</v>
      </c>
      <c r="AS19" s="118"/>
      <c r="AT19" s="118"/>
      <c r="AU19" s="19"/>
      <c r="AV19" s="39"/>
    </row>
    <row r="20" spans="1:48" ht="12.4" customHeight="1" x14ac:dyDescent="0.2">
      <c r="A20" s="59">
        <v>1.822029709815979</v>
      </c>
      <c r="B20" s="158">
        <v>0</v>
      </c>
      <c r="C20" s="158">
        <f t="shared" si="1"/>
        <v>1</v>
      </c>
      <c r="D20" s="60">
        <f t="shared" si="2"/>
        <v>0</v>
      </c>
      <c r="E20" s="58">
        <f>(2*Table!$AC$16*0.147)/A20</f>
        <v>50.303836853714422</v>
      </c>
      <c r="F20" s="58">
        <f t="shared" si="3"/>
        <v>100.60767370742884</v>
      </c>
      <c r="G20" s="59">
        <f>IF((('Raw Data'!C20)/('Raw Data'!C$136)*100)&lt;0,0,('Raw Data'!C20)/('Raw Data'!C$136)*100)</f>
        <v>0</v>
      </c>
      <c r="H20" s="59">
        <f t="shared" si="4"/>
        <v>0</v>
      </c>
      <c r="I20" s="99">
        <f t="shared" si="5"/>
        <v>5.6152332590969412E-2</v>
      </c>
      <c r="J20" s="58">
        <f>'Raw Data'!F20/I20</f>
        <v>0</v>
      </c>
      <c r="K20" s="74">
        <f t="shared" si="6"/>
        <v>4.8568570996901737E-3</v>
      </c>
      <c r="L20" s="59">
        <f>A20*Table!$AC$9/$AC$16</f>
        <v>0.40911392226098908</v>
      </c>
      <c r="M20" s="59">
        <f>A20*Table!$AD$9/$AC$16</f>
        <v>0.14026763048948196</v>
      </c>
      <c r="N20" s="59">
        <f>ABS(A20*Table!$AE$9/$AC$16)</f>
        <v>0.17715152485995425</v>
      </c>
      <c r="O20" s="59">
        <f>($L20*(Table!$AC$10/Table!$AC$9)/(Table!$AC$12-Table!$AC$14))</f>
        <v>0.8775502408000625</v>
      </c>
      <c r="P20" s="59">
        <f>ROUND(($N20*(Table!$AE$10/Table!$AE$9)/(Table!$AC$12-Table!$AC$13)),2)</f>
        <v>1.45</v>
      </c>
      <c r="Q20" s="59">
        <f>'Raw Data'!C20</f>
        <v>0</v>
      </c>
      <c r="R20" s="59">
        <f>'Raw Data'!C20/'Raw Data'!I$30*100</f>
        <v>0</v>
      </c>
      <c r="S20" s="109">
        <f t="shared" si="7"/>
        <v>0</v>
      </c>
      <c r="T20" s="109">
        <f t="shared" si="8"/>
        <v>1</v>
      </c>
      <c r="U20" s="77">
        <f t="shared" si="9"/>
        <v>0</v>
      </c>
      <c r="V20" s="77">
        <f t="shared" si="10"/>
        <v>0</v>
      </c>
      <c r="W20" s="77">
        <f t="shared" si="11"/>
        <v>0</v>
      </c>
      <c r="X20" s="86">
        <f t="shared" si="12"/>
        <v>0</v>
      </c>
      <c r="AN20" s="125">
        <f>E64</f>
        <v>0.99745330122801923</v>
      </c>
      <c r="AO20" s="46">
        <f>$B64</f>
        <v>0.11837854312709541</v>
      </c>
      <c r="AP20" s="46">
        <f t="shared" si="0"/>
        <v>0.11837854312709541</v>
      </c>
      <c r="AR20" s="55">
        <v>1.0742552826940897</v>
      </c>
      <c r="AS20" s="118"/>
      <c r="AT20" s="118"/>
      <c r="AU20" s="19"/>
      <c r="AV20" s="39"/>
    </row>
    <row r="21" spans="1:48" ht="12.4" customHeight="1" x14ac:dyDescent="0.2">
      <c r="A21" s="59">
        <v>2.0197198390960693</v>
      </c>
      <c r="B21" s="158">
        <v>0</v>
      </c>
      <c r="C21" s="158">
        <f t="shared" si="1"/>
        <v>1</v>
      </c>
      <c r="D21" s="60">
        <f t="shared" si="2"/>
        <v>0</v>
      </c>
      <c r="E21" s="58">
        <f>(2*Table!$AC$16*0.147)/A21</f>
        <v>45.38009851218974</v>
      </c>
      <c r="F21" s="58">
        <f t="shared" si="3"/>
        <v>90.76019702437948</v>
      </c>
      <c r="G21" s="59">
        <f>IF((('Raw Data'!C21)/('Raw Data'!C$136)*100)&lt;0,0,('Raw Data'!C21)/('Raw Data'!C$136)*100)</f>
        <v>0</v>
      </c>
      <c r="H21" s="59">
        <f t="shared" si="4"/>
        <v>0</v>
      </c>
      <c r="I21" s="99">
        <f t="shared" si="5"/>
        <v>4.4735677187441647E-2</v>
      </c>
      <c r="J21" s="58">
        <f>'Raw Data'!F21/I21</f>
        <v>0</v>
      </c>
      <c r="K21" s="74">
        <f t="shared" si="6"/>
        <v>5.3838258438110628E-3</v>
      </c>
      <c r="L21" s="59">
        <f>A21*Table!$AC$9/$AC$16</f>
        <v>0.45350276166703163</v>
      </c>
      <c r="M21" s="59">
        <f>A21*Table!$AD$9/$AC$16</f>
        <v>0.15548666114298226</v>
      </c>
      <c r="N21" s="59">
        <f>ABS(A21*Table!$AE$9/$AC$16)</f>
        <v>0.19637245614502455</v>
      </c>
      <c r="O21" s="59">
        <f>($L21*(Table!$AC$10/Table!$AC$9)/(Table!$AC$12-Table!$AC$14))</f>
        <v>0.97276439654017954</v>
      </c>
      <c r="P21" s="59">
        <f>ROUND(($N21*(Table!$AE$10/Table!$AE$9)/(Table!$AC$12-Table!$AC$13)),2)</f>
        <v>1.61</v>
      </c>
      <c r="Q21" s="59">
        <f>'Raw Data'!C21</f>
        <v>0</v>
      </c>
      <c r="R21" s="59">
        <f>'Raw Data'!C21/'Raw Data'!I$30*100</f>
        <v>0</v>
      </c>
      <c r="S21" s="109">
        <f t="shared" si="7"/>
        <v>0</v>
      </c>
      <c r="T21" s="109">
        <f t="shared" si="8"/>
        <v>1</v>
      </c>
      <c r="U21" s="77">
        <f t="shared" si="9"/>
        <v>0</v>
      </c>
      <c r="V21" s="77">
        <f t="shared" si="10"/>
        <v>0</v>
      </c>
      <c r="W21" s="77">
        <f t="shared" si="11"/>
        <v>0</v>
      </c>
      <c r="X21" s="86">
        <f t="shared" si="12"/>
        <v>0</v>
      </c>
      <c r="AN21" s="125">
        <f>$E55</f>
        <v>2.273013983837386</v>
      </c>
      <c r="AO21" s="46">
        <f>$B55</f>
        <v>0</v>
      </c>
      <c r="AP21" s="46">
        <f t="shared" si="0"/>
        <v>0</v>
      </c>
      <c r="AR21" s="55">
        <v>2.3818202604521379</v>
      </c>
      <c r="AS21" s="118"/>
      <c r="AT21" s="118"/>
      <c r="AU21" s="19"/>
      <c r="AV21" s="39"/>
    </row>
    <row r="22" spans="1:48" ht="12.4" customHeight="1" x14ac:dyDescent="0.2">
      <c r="A22" s="59">
        <v>2.1800045967102051</v>
      </c>
      <c r="B22" s="158">
        <v>0</v>
      </c>
      <c r="C22" s="158">
        <f t="shared" si="1"/>
        <v>1</v>
      </c>
      <c r="D22" s="60">
        <f t="shared" si="2"/>
        <v>0</v>
      </c>
      <c r="E22" s="58">
        <f>(2*Table!$AC$16*0.147)/A22</f>
        <v>42.043528441874948</v>
      </c>
      <c r="F22" s="58">
        <f t="shared" si="3"/>
        <v>84.087056883749895</v>
      </c>
      <c r="G22" s="59">
        <f>IF((('Raw Data'!C22)/('Raw Data'!C$136)*100)&lt;0,0,('Raw Data'!C22)/('Raw Data'!C$136)*100)</f>
        <v>0</v>
      </c>
      <c r="H22" s="59">
        <f t="shared" si="4"/>
        <v>0</v>
      </c>
      <c r="I22" s="99">
        <f t="shared" si="5"/>
        <v>3.3166277909258746E-2</v>
      </c>
      <c r="J22" s="58">
        <f>'Raw Data'!F22/I22</f>
        <v>0</v>
      </c>
      <c r="K22" s="74">
        <f t="shared" si="6"/>
        <v>5.8110857061483018E-3</v>
      </c>
      <c r="L22" s="59">
        <f>A22*Table!$AC$9/$AC$16</f>
        <v>0.48949269394579448</v>
      </c>
      <c r="M22" s="59">
        <f>A22*Table!$AD$9/$AC$16</f>
        <v>0.16782606649570095</v>
      </c>
      <c r="N22" s="59">
        <f>ABS(A22*Table!$AE$9/$AC$16)</f>
        <v>0.21195655396196966</v>
      </c>
      <c r="O22" s="59">
        <f>($L22*(Table!$AC$10/Table!$AC$9)/(Table!$AC$12-Table!$AC$14))</f>
        <v>1.0499628784766077</v>
      </c>
      <c r="P22" s="59">
        <f>ROUND(($N22*(Table!$AE$10/Table!$AE$9)/(Table!$AC$12-Table!$AC$13)),2)</f>
        <v>1.74</v>
      </c>
      <c r="Q22" s="59">
        <f>'Raw Data'!C22</f>
        <v>0</v>
      </c>
      <c r="R22" s="59">
        <f>'Raw Data'!C22/'Raw Data'!I$30*100</f>
        <v>0</v>
      </c>
      <c r="S22" s="109">
        <f t="shared" si="7"/>
        <v>0</v>
      </c>
      <c r="T22" s="109">
        <f t="shared" si="8"/>
        <v>1</v>
      </c>
      <c r="U22" s="77">
        <f t="shared" si="9"/>
        <v>0</v>
      </c>
      <c r="V22" s="77">
        <f t="shared" si="10"/>
        <v>0</v>
      </c>
      <c r="W22" s="77">
        <f t="shared" si="11"/>
        <v>0</v>
      </c>
      <c r="X22" s="86">
        <f t="shared" si="12"/>
        <v>0</v>
      </c>
      <c r="AN22" s="125">
        <f>$E47</f>
        <v>4.5239906544132271</v>
      </c>
      <c r="AO22" s="46">
        <f>$B47</f>
        <v>0</v>
      </c>
      <c r="AP22" s="46">
        <f t="shared" si="0"/>
        <v>0</v>
      </c>
      <c r="AR22" s="55">
        <v>4.9092259390712378</v>
      </c>
      <c r="AS22" s="118"/>
      <c r="AT22" s="118"/>
      <c r="AU22" s="19"/>
      <c r="AV22" s="39"/>
    </row>
    <row r="23" spans="1:48" ht="12.4" customHeight="1" x14ac:dyDescent="0.2">
      <c r="A23" s="59">
        <v>2.3738393783569336</v>
      </c>
      <c r="B23" s="158">
        <v>0</v>
      </c>
      <c r="C23" s="158">
        <f t="shared" si="1"/>
        <v>1</v>
      </c>
      <c r="D23" s="60">
        <f t="shared" si="2"/>
        <v>0</v>
      </c>
      <c r="E23" s="58">
        <f>(2*Table!$AC$16*0.147)/A23</f>
        <v>38.610483127398126</v>
      </c>
      <c r="F23" s="58">
        <f t="shared" si="3"/>
        <v>77.220966254796252</v>
      </c>
      <c r="G23" s="59">
        <f>IF((('Raw Data'!C23)/('Raw Data'!C$136)*100)&lt;0,0,('Raw Data'!C23)/('Raw Data'!C$136)*100)</f>
        <v>0</v>
      </c>
      <c r="H23" s="59">
        <f t="shared" si="4"/>
        <v>0</v>
      </c>
      <c r="I23" s="99">
        <f t="shared" si="5"/>
        <v>3.6993920495234089E-2</v>
      </c>
      <c r="J23" s="58">
        <f>'Raw Data'!F23/I23</f>
        <v>0</v>
      </c>
      <c r="K23" s="74">
        <f t="shared" si="6"/>
        <v>6.327777519863507E-3</v>
      </c>
      <c r="L23" s="59">
        <f>A23*Table!$AC$9/$AC$16</f>
        <v>0.53301586338857188</v>
      </c>
      <c r="M23" s="59">
        <f>A23*Table!$AD$9/$AC$16</f>
        <v>0.18274829601893894</v>
      </c>
      <c r="N23" s="59">
        <f>ABS(A23*Table!$AE$9/$AC$16)</f>
        <v>0.23080263915729962</v>
      </c>
      <c r="O23" s="59">
        <f>($L23*(Table!$AC$10/Table!$AC$9)/(Table!$AC$12-Table!$AC$14))</f>
        <v>1.1433201702886571</v>
      </c>
      <c r="P23" s="59">
        <f>ROUND(($N23*(Table!$AE$10/Table!$AE$9)/(Table!$AC$12-Table!$AC$13)),2)</f>
        <v>1.89</v>
      </c>
      <c r="Q23" s="59">
        <f>'Raw Data'!C23</f>
        <v>0</v>
      </c>
      <c r="R23" s="59">
        <f>'Raw Data'!C23/'Raw Data'!I$30*100</f>
        <v>0</v>
      </c>
      <c r="S23" s="109">
        <f t="shared" si="7"/>
        <v>0</v>
      </c>
      <c r="T23" s="109">
        <f t="shared" si="8"/>
        <v>1</v>
      </c>
      <c r="U23" s="77">
        <f t="shared" si="9"/>
        <v>0</v>
      </c>
      <c r="V23" s="77">
        <f t="shared" si="10"/>
        <v>0</v>
      </c>
      <c r="W23" s="77">
        <f t="shared" si="11"/>
        <v>0</v>
      </c>
      <c r="X23" s="86">
        <f t="shared" si="12"/>
        <v>0</v>
      </c>
      <c r="AN23" s="125">
        <f>$E42</f>
        <v>7.116418376424086</v>
      </c>
      <c r="AO23" s="46">
        <f>$B42</f>
        <v>0</v>
      </c>
      <c r="AP23" s="46">
        <f t="shared" si="0"/>
        <v>0</v>
      </c>
      <c r="AR23" s="55">
        <v>7.6545393934362336</v>
      </c>
      <c r="AS23" s="118"/>
      <c r="AT23" s="118"/>
      <c r="AU23" s="19"/>
      <c r="AV23" s="39"/>
    </row>
    <row r="24" spans="1:48" ht="12.4" customHeight="1" x14ac:dyDescent="0.2">
      <c r="A24" s="59">
        <v>2.593677282333374</v>
      </c>
      <c r="B24" s="158">
        <v>0</v>
      </c>
      <c r="C24" s="158">
        <f t="shared" si="1"/>
        <v>1</v>
      </c>
      <c r="D24" s="60">
        <f t="shared" si="2"/>
        <v>0</v>
      </c>
      <c r="E24" s="58">
        <f>(2*Table!$AC$16*0.147)/A24</f>
        <v>35.337891066673926</v>
      </c>
      <c r="F24" s="58">
        <f t="shared" si="3"/>
        <v>70.675782133347852</v>
      </c>
      <c r="G24" s="59">
        <f>IF((('Raw Data'!C24)/('Raw Data'!C$136)*100)&lt;0,0,('Raw Data'!C24)/('Raw Data'!C$136)*100)</f>
        <v>0</v>
      </c>
      <c r="H24" s="59">
        <f t="shared" si="4"/>
        <v>0</v>
      </c>
      <c r="I24" s="99">
        <f t="shared" si="5"/>
        <v>3.8464608279312529E-2</v>
      </c>
      <c r="J24" s="58">
        <f>'Raw Data'!F24/I24</f>
        <v>0</v>
      </c>
      <c r="K24" s="74">
        <f t="shared" si="6"/>
        <v>6.9137840371868821E-3</v>
      </c>
      <c r="L24" s="59">
        <f>A24*Table!$AC$9/$AC$16</f>
        <v>0.58237770785954923</v>
      </c>
      <c r="M24" s="59">
        <f>A24*Table!$AD$9/$AC$16</f>
        <v>0.19967235698041685</v>
      </c>
      <c r="N24" s="59">
        <f>ABS(A24*Table!$AE$9/$AC$16)</f>
        <v>0.25217694480206099</v>
      </c>
      <c r="O24" s="59">
        <f>($L24*(Table!$AC$10/Table!$AC$9)/(Table!$AC$12-Table!$AC$14))</f>
        <v>1.2492014325601657</v>
      </c>
      <c r="P24" s="59">
        <f>ROUND(($N24*(Table!$AE$10/Table!$AE$9)/(Table!$AC$12-Table!$AC$13)),2)</f>
        <v>2.0699999999999998</v>
      </c>
      <c r="Q24" s="59">
        <f>'Raw Data'!C24</f>
        <v>0</v>
      </c>
      <c r="R24" s="59">
        <f>'Raw Data'!C24/'Raw Data'!I$30*100</f>
        <v>0</v>
      </c>
      <c r="S24" s="109">
        <f t="shared" si="7"/>
        <v>0</v>
      </c>
      <c r="T24" s="109">
        <f t="shared" si="8"/>
        <v>1</v>
      </c>
      <c r="U24" s="77">
        <f t="shared" si="9"/>
        <v>0</v>
      </c>
      <c r="V24" s="77">
        <f t="shared" si="10"/>
        <v>0</v>
      </c>
      <c r="W24" s="77">
        <f t="shared" si="11"/>
        <v>0</v>
      </c>
      <c r="X24" s="86">
        <f t="shared" si="12"/>
        <v>0</v>
      </c>
      <c r="AN24" s="154">
        <f>$E39</f>
        <v>9.2809226182651603</v>
      </c>
      <c r="AO24" s="46">
        <f>$B39</f>
        <v>0</v>
      </c>
      <c r="AP24" s="46">
        <f t="shared" si="0"/>
        <v>0</v>
      </c>
      <c r="AR24" s="76">
        <v>10.01194107647434</v>
      </c>
      <c r="AS24" s="118"/>
      <c r="AT24" s="118"/>
      <c r="AU24" s="19"/>
      <c r="AV24" s="39"/>
    </row>
    <row r="25" spans="1:48" ht="12.4" customHeight="1" x14ac:dyDescent="0.2">
      <c r="A25" s="59">
        <v>2.8300850391387939</v>
      </c>
      <c r="B25" s="158">
        <v>0</v>
      </c>
      <c r="C25" s="158">
        <f t="shared" si="1"/>
        <v>1</v>
      </c>
      <c r="D25" s="60">
        <f t="shared" si="2"/>
        <v>0</v>
      </c>
      <c r="E25" s="58">
        <f>(2*Table!$AC$16*0.147)/A25</f>
        <v>32.385982752339714</v>
      </c>
      <c r="F25" s="58">
        <f t="shared" si="3"/>
        <v>64.771965504679429</v>
      </c>
      <c r="G25" s="59">
        <f>IF((('Raw Data'!C25)/('Raw Data'!C$136)*100)&lt;0,0,('Raw Data'!C25)/('Raw Data'!C$136)*100)</f>
        <v>0</v>
      </c>
      <c r="H25" s="59">
        <f t="shared" si="4"/>
        <v>0</v>
      </c>
      <c r="I25" s="99">
        <f t="shared" si="5"/>
        <v>3.7883547391047712E-2</v>
      </c>
      <c r="J25" s="58">
        <f>'Raw Data'!F25/I25</f>
        <v>0</v>
      </c>
      <c r="K25" s="74">
        <f t="shared" si="6"/>
        <v>7.5439596517097645E-3</v>
      </c>
      <c r="L25" s="59">
        <f>A25*Table!$AC$9/$AC$16</f>
        <v>0.63546010498981098</v>
      </c>
      <c r="M25" s="59">
        <f>A25*Table!$AD$9/$AC$16</f>
        <v>0.21787203599650662</v>
      </c>
      <c r="N25" s="59">
        <f>ABS(A25*Table!$AE$9/$AC$16)</f>
        <v>0.27516229700635142</v>
      </c>
      <c r="O25" s="59">
        <f>($L25*(Table!$AC$10/Table!$AC$9)/(Table!$AC$12-Table!$AC$14))</f>
        <v>1.3630632882664329</v>
      </c>
      <c r="P25" s="59">
        <f>ROUND(($N25*(Table!$AE$10/Table!$AE$9)/(Table!$AC$12-Table!$AC$13)),2)</f>
        <v>2.2599999999999998</v>
      </c>
      <c r="Q25" s="59">
        <f>'Raw Data'!C25</f>
        <v>0</v>
      </c>
      <c r="R25" s="59">
        <f>'Raw Data'!C25/'Raw Data'!I$30*100</f>
        <v>0</v>
      </c>
      <c r="S25" s="109">
        <f t="shared" si="7"/>
        <v>0</v>
      </c>
      <c r="T25" s="109">
        <f t="shared" si="8"/>
        <v>1</v>
      </c>
      <c r="U25" s="77">
        <f t="shared" si="9"/>
        <v>0</v>
      </c>
      <c r="V25" s="77">
        <f t="shared" si="10"/>
        <v>0</v>
      </c>
      <c r="W25" s="77">
        <f t="shared" si="11"/>
        <v>0</v>
      </c>
      <c r="X25" s="86">
        <f t="shared" si="12"/>
        <v>0</v>
      </c>
      <c r="AN25" s="154">
        <f>$E29</f>
        <v>22.66381736360562</v>
      </c>
      <c r="AO25" s="46">
        <f>$B29</f>
        <v>0</v>
      </c>
      <c r="AP25" s="46">
        <f t="shared" si="0"/>
        <v>0</v>
      </c>
      <c r="AR25" s="76">
        <v>23.954008145687514</v>
      </c>
      <c r="AS25" s="118"/>
      <c r="AT25" s="118"/>
      <c r="AU25" s="19"/>
      <c r="AV25" s="39"/>
    </row>
    <row r="26" spans="1:48" ht="12.4" customHeight="1" x14ac:dyDescent="0.2">
      <c r="A26" s="59">
        <v>3.0941364765167236</v>
      </c>
      <c r="B26" s="158">
        <v>0</v>
      </c>
      <c r="C26" s="158">
        <f t="shared" si="1"/>
        <v>1</v>
      </c>
      <c r="D26" s="60">
        <f t="shared" si="2"/>
        <v>0</v>
      </c>
      <c r="E26" s="58">
        <f>(2*Table!$AC$16*0.147)/A26</f>
        <v>29.622185692463667</v>
      </c>
      <c r="F26" s="58">
        <f t="shared" si="3"/>
        <v>59.244371384927334</v>
      </c>
      <c r="G26" s="59">
        <f>IF((('Raw Data'!C26)/('Raw Data'!C$136)*100)&lt;0,0,('Raw Data'!C26)/('Raw Data'!C$136)*100)</f>
        <v>0</v>
      </c>
      <c r="H26" s="59">
        <f t="shared" si="4"/>
        <v>0</v>
      </c>
      <c r="I26" s="99">
        <f t="shared" si="5"/>
        <v>3.8739980180212408E-2</v>
      </c>
      <c r="J26" s="58">
        <f>'Raw Data'!F26/I26</f>
        <v>0</v>
      </c>
      <c r="K26" s="74">
        <f t="shared" si="6"/>
        <v>8.2478230911494626E-3</v>
      </c>
      <c r="L26" s="59">
        <f>A26*Table!$AC$9/$AC$16</f>
        <v>0.69474954392834898</v>
      </c>
      <c r="M26" s="59">
        <f>A26*Table!$AD$9/$AC$16</f>
        <v>0.23819984363257682</v>
      </c>
      <c r="N26" s="59">
        <f>ABS(A26*Table!$AE$9/$AC$16)</f>
        <v>0.30083537715480158</v>
      </c>
      <c r="O26" s="59">
        <f>($L26*(Table!$AC$10/Table!$AC$9)/(Table!$AC$12-Table!$AC$14))</f>
        <v>1.4902392619655707</v>
      </c>
      <c r="P26" s="59">
        <f>ROUND(($N26*(Table!$AE$10/Table!$AE$9)/(Table!$AC$12-Table!$AC$13)),2)</f>
        <v>2.4700000000000002</v>
      </c>
      <c r="Q26" s="59">
        <f>'Raw Data'!C26</f>
        <v>0</v>
      </c>
      <c r="R26" s="59">
        <f>'Raw Data'!C26/'Raw Data'!I$30*100</f>
        <v>0</v>
      </c>
      <c r="S26" s="109">
        <f t="shared" si="7"/>
        <v>0</v>
      </c>
      <c r="T26" s="109">
        <f t="shared" si="8"/>
        <v>1</v>
      </c>
      <c r="U26" s="77">
        <f t="shared" si="9"/>
        <v>0</v>
      </c>
      <c r="V26" s="77">
        <f t="shared" si="10"/>
        <v>0</v>
      </c>
      <c r="W26" s="77">
        <f t="shared" si="11"/>
        <v>0</v>
      </c>
      <c r="X26" s="86">
        <f t="shared" si="12"/>
        <v>0</v>
      </c>
      <c r="AN26" s="154">
        <f>$E21</f>
        <v>45.38009851218974</v>
      </c>
      <c r="AO26" s="46">
        <f>$B22</f>
        <v>0</v>
      </c>
      <c r="AP26" s="46">
        <f t="shared" si="0"/>
        <v>0</v>
      </c>
      <c r="AR26" s="76">
        <v>51.76790385987443</v>
      </c>
      <c r="AS26" s="118"/>
      <c r="AT26" s="118"/>
      <c r="AU26" s="19"/>
      <c r="AV26" s="39"/>
    </row>
    <row r="27" spans="1:48" ht="12.4" customHeight="1" x14ac:dyDescent="0.2">
      <c r="A27" s="59">
        <v>3.3660628795623779</v>
      </c>
      <c r="B27" s="158">
        <v>0</v>
      </c>
      <c r="C27" s="158">
        <f t="shared" si="1"/>
        <v>1</v>
      </c>
      <c r="D27" s="60">
        <f t="shared" si="2"/>
        <v>0</v>
      </c>
      <c r="E27" s="58">
        <f>(2*Table!$AC$16*0.147)/A27</f>
        <v>27.229166104324147</v>
      </c>
      <c r="F27" s="58">
        <f t="shared" si="3"/>
        <v>54.458332208648294</v>
      </c>
      <c r="G27" s="59">
        <f>IF((('Raw Data'!C27)/('Raw Data'!C$136)*100)&lt;0,0,('Raw Data'!C27)/('Raw Data'!C$136)*100)</f>
        <v>0</v>
      </c>
      <c r="H27" s="59">
        <f t="shared" si="4"/>
        <v>0</v>
      </c>
      <c r="I27" s="99">
        <f t="shared" si="5"/>
        <v>3.6582758835779217E-2</v>
      </c>
      <c r="J27" s="58">
        <f>'Raw Data'!F27/I27</f>
        <v>0</v>
      </c>
      <c r="K27" s="74">
        <f t="shared" si="6"/>
        <v>8.9726782755135438E-3</v>
      </c>
      <c r="L27" s="59">
        <f>A27*Table!$AC$9/$AC$16</f>
        <v>0.75580720765193676</v>
      </c>
      <c r="M27" s="59">
        <f>A27*Table!$AD$9/$AC$16</f>
        <v>0.2591338997663783</v>
      </c>
      <c r="N27" s="59">
        <f>ABS(A27*Table!$AE$9/$AC$16)</f>
        <v>0.32727412109497883</v>
      </c>
      <c r="O27" s="59">
        <f>($L27*(Table!$AC$10/Table!$AC$9)/(Table!$AC$12-Table!$AC$14))</f>
        <v>1.6212080816214862</v>
      </c>
      <c r="P27" s="59">
        <f>ROUND(($N27*(Table!$AE$10/Table!$AE$9)/(Table!$AC$12-Table!$AC$13)),2)</f>
        <v>2.69</v>
      </c>
      <c r="Q27" s="59">
        <f>'Raw Data'!C27</f>
        <v>0</v>
      </c>
      <c r="R27" s="59">
        <f>'Raw Data'!C27/'Raw Data'!I$30*100</f>
        <v>0</v>
      </c>
      <c r="S27" s="109">
        <f t="shared" si="7"/>
        <v>0</v>
      </c>
      <c r="T27" s="109">
        <f t="shared" si="8"/>
        <v>1</v>
      </c>
      <c r="U27" s="77">
        <f t="shared" si="9"/>
        <v>0</v>
      </c>
      <c r="V27" s="77">
        <f t="shared" si="10"/>
        <v>0</v>
      </c>
      <c r="W27" s="77">
        <f t="shared" si="11"/>
        <v>0</v>
      </c>
      <c r="X27" s="86">
        <f t="shared" si="12"/>
        <v>0</v>
      </c>
      <c r="AN27" s="154">
        <f>$E18</f>
        <v>60.095133594900979</v>
      </c>
      <c r="AO27" s="46">
        <f>$B18</f>
        <v>0</v>
      </c>
      <c r="AP27" s="46">
        <f t="shared" si="0"/>
        <v>0</v>
      </c>
      <c r="AR27" s="76">
        <v>72.33793188366559</v>
      </c>
      <c r="AS27" s="118"/>
      <c r="AT27" s="118"/>
      <c r="AU27" s="19"/>
      <c r="AV27" s="39"/>
    </row>
    <row r="28" spans="1:48" ht="12.4" customHeight="1" x14ac:dyDescent="0.2">
      <c r="A28" s="59">
        <v>3.7039406299591064</v>
      </c>
      <c r="B28" s="158">
        <v>0</v>
      </c>
      <c r="C28" s="158">
        <f t="shared" si="1"/>
        <v>1</v>
      </c>
      <c r="D28" s="60">
        <f t="shared" si="2"/>
        <v>0</v>
      </c>
      <c r="E28" s="58">
        <f>(2*Table!$AC$16*0.147)/A28</f>
        <v>24.745290063198329</v>
      </c>
      <c r="F28" s="58">
        <f t="shared" si="3"/>
        <v>49.490580126396658</v>
      </c>
      <c r="G28" s="59">
        <f>IF((('Raw Data'!C28)/('Raw Data'!C$136)*100)&lt;0,0,('Raw Data'!C28)/('Raw Data'!C$136)*100)</f>
        <v>0</v>
      </c>
      <c r="H28" s="59">
        <f t="shared" si="4"/>
        <v>0</v>
      </c>
      <c r="I28" s="99">
        <f t="shared" si="5"/>
        <v>4.1541792278047884E-2</v>
      </c>
      <c r="J28" s="58">
        <f>'Raw Data'!F28/I28</f>
        <v>0</v>
      </c>
      <c r="K28" s="74">
        <f t="shared" si="6"/>
        <v>9.8733353515210679E-3</v>
      </c>
      <c r="L28" s="59">
        <f>A28*Table!$AC$9/$AC$16</f>
        <v>0.83167341936342754</v>
      </c>
      <c r="M28" s="59">
        <f>A28*Table!$AD$9/$AC$16</f>
        <v>0.28514517235317516</v>
      </c>
      <c r="N28" s="59">
        <f>ABS(A28*Table!$AE$9/$AC$16)</f>
        <v>0.36012515441049853</v>
      </c>
      <c r="O28" s="59">
        <f>($L28*(Table!$AC$10/Table!$AC$9)/(Table!$AC$12-Table!$AC$14))</f>
        <v>1.7839412684758207</v>
      </c>
      <c r="P28" s="59">
        <f>ROUND(($N28*(Table!$AE$10/Table!$AE$9)/(Table!$AC$12-Table!$AC$13)),2)</f>
        <v>2.96</v>
      </c>
      <c r="Q28" s="59">
        <f>'Raw Data'!C28</f>
        <v>0</v>
      </c>
      <c r="R28" s="59">
        <f>'Raw Data'!C28/'Raw Data'!I$30*100</f>
        <v>0</v>
      </c>
      <c r="S28" s="109">
        <f t="shared" si="7"/>
        <v>0</v>
      </c>
      <c r="T28" s="109">
        <f t="shared" si="8"/>
        <v>1</v>
      </c>
      <c r="U28" s="77">
        <f t="shared" si="9"/>
        <v>0</v>
      </c>
      <c r="V28" s="77">
        <f t="shared" si="10"/>
        <v>0</v>
      </c>
      <c r="W28" s="77">
        <f t="shared" si="11"/>
        <v>0</v>
      </c>
      <c r="X28" s="86">
        <f t="shared" si="12"/>
        <v>0</v>
      </c>
      <c r="AN28" s="140"/>
      <c r="AO28" s="46"/>
      <c r="AP28" s="46"/>
      <c r="AS28" s="118"/>
      <c r="AT28" s="118"/>
      <c r="AU28" s="39"/>
      <c r="AV28" s="39"/>
    </row>
    <row r="29" spans="1:48" ht="12.4" customHeight="1" x14ac:dyDescent="0.2">
      <c r="A29" s="59">
        <v>4.0441150665283203</v>
      </c>
      <c r="B29" s="158">
        <v>0</v>
      </c>
      <c r="C29" s="158">
        <f t="shared" si="1"/>
        <v>1</v>
      </c>
      <c r="D29" s="60">
        <f t="shared" si="2"/>
        <v>0</v>
      </c>
      <c r="E29" s="58">
        <f>(2*Table!$AC$16*0.147)/A29</f>
        <v>22.66381736360562</v>
      </c>
      <c r="F29" s="58">
        <f t="shared" si="3"/>
        <v>45.32763472721124</v>
      </c>
      <c r="G29" s="59">
        <f>IF((('Raw Data'!C29)/('Raw Data'!C$136)*100)&lt;0,0,('Raw Data'!C29)/('Raw Data'!C$136)*100)</f>
        <v>0</v>
      </c>
      <c r="H29" s="59">
        <f t="shared" si="4"/>
        <v>0</v>
      </c>
      <c r="I29" s="99">
        <f t="shared" si="5"/>
        <v>3.8159487193792252E-2</v>
      </c>
      <c r="J29" s="58">
        <f>'Raw Data'!F29/I29</f>
        <v>0</v>
      </c>
      <c r="K29" s="74">
        <f t="shared" si="6"/>
        <v>1.078011454314641E-2</v>
      </c>
      <c r="L29" s="59">
        <f>A29*Table!$AC$9/$AC$16</f>
        <v>0.90805532315346449</v>
      </c>
      <c r="M29" s="59">
        <f>A29*Table!$AD$9/$AC$16</f>
        <v>0.31133325365261638</v>
      </c>
      <c r="N29" s="59">
        <f>ABS(A29*Table!$AE$9/$AC$16)</f>
        <v>0.39319948894629403</v>
      </c>
      <c r="O29" s="59">
        <f>($L29*(Table!$AC$10/Table!$AC$9)/(Table!$AC$12-Table!$AC$14))</f>
        <v>1.9477806159447975</v>
      </c>
      <c r="P29" s="59">
        <f>ROUND(($N29*(Table!$AE$10/Table!$AE$9)/(Table!$AC$12-Table!$AC$13)),2)</f>
        <v>3.23</v>
      </c>
      <c r="Q29" s="59">
        <f>'Raw Data'!C29</f>
        <v>0</v>
      </c>
      <c r="R29" s="59">
        <f>'Raw Data'!C29/'Raw Data'!I$30*100</f>
        <v>0</v>
      </c>
      <c r="S29" s="109">
        <f t="shared" si="7"/>
        <v>0</v>
      </c>
      <c r="T29" s="109">
        <f t="shared" si="8"/>
        <v>1</v>
      </c>
      <c r="U29" s="77">
        <f t="shared" si="9"/>
        <v>0</v>
      </c>
      <c r="V29" s="77">
        <f t="shared" si="10"/>
        <v>0</v>
      </c>
      <c r="W29" s="77">
        <f t="shared" si="11"/>
        <v>0</v>
      </c>
      <c r="X29" s="86">
        <f t="shared" si="12"/>
        <v>0</v>
      </c>
      <c r="AS29" s="118"/>
      <c r="AT29" s="118"/>
    </row>
    <row r="30" spans="1:48" ht="12.4" customHeight="1" x14ac:dyDescent="0.2">
      <c r="A30" s="59">
        <v>4.420710563659668</v>
      </c>
      <c r="B30" s="158">
        <v>0</v>
      </c>
      <c r="C30" s="158">
        <f t="shared" si="1"/>
        <v>1</v>
      </c>
      <c r="D30" s="60">
        <f t="shared" si="2"/>
        <v>0</v>
      </c>
      <c r="E30" s="58">
        <f>(2*Table!$AC$16*0.147)/A30</f>
        <v>20.733111554203933</v>
      </c>
      <c r="F30" s="58">
        <f t="shared" si="3"/>
        <v>41.466223108407867</v>
      </c>
      <c r="G30" s="59">
        <f>IF((('Raw Data'!C30)/('Raw Data'!C$136)*100)&lt;0,0,('Raw Data'!C30)/('Raw Data'!C$136)*100)</f>
        <v>0</v>
      </c>
      <c r="H30" s="59">
        <f t="shared" si="4"/>
        <v>0</v>
      </c>
      <c r="I30" s="99">
        <f t="shared" si="5"/>
        <v>3.8668577353940137E-2</v>
      </c>
      <c r="J30" s="58">
        <f>'Raw Data'!F30/I30</f>
        <v>0</v>
      </c>
      <c r="K30" s="74">
        <f t="shared" si="6"/>
        <v>1.1783978807323786E-2</v>
      </c>
      <c r="L30" s="59">
        <f>A30*Table!$AC$9/$AC$16</f>
        <v>0.99261511935612545</v>
      </c>
      <c r="M30" s="59">
        <f>A30*Table!$AD$9/$AC$16</f>
        <v>0.34032518377924303</v>
      </c>
      <c r="N30" s="59">
        <f>ABS(A30*Table!$AE$9/$AC$16)</f>
        <v>0.4298149547714637</v>
      </c>
      <c r="O30" s="59">
        <f>($L30*(Table!$AC$10/Table!$AC$9)/(Table!$AC$12-Table!$AC$14))</f>
        <v>2.1291615601804494</v>
      </c>
      <c r="P30" s="59">
        <f>ROUND(($N30*(Table!$AE$10/Table!$AE$9)/(Table!$AC$12-Table!$AC$13)),2)</f>
        <v>3.53</v>
      </c>
      <c r="Q30" s="59">
        <f>'Raw Data'!C30</f>
        <v>0</v>
      </c>
      <c r="R30" s="59">
        <f>'Raw Data'!C30/'Raw Data'!I$30*100</f>
        <v>0</v>
      </c>
      <c r="S30" s="109">
        <f t="shared" si="7"/>
        <v>0</v>
      </c>
      <c r="T30" s="109">
        <f t="shared" si="8"/>
        <v>1</v>
      </c>
      <c r="U30" s="77">
        <f t="shared" si="9"/>
        <v>0</v>
      </c>
      <c r="V30" s="77">
        <f t="shared" si="10"/>
        <v>0</v>
      </c>
      <c r="W30" s="77">
        <f t="shared" si="11"/>
        <v>0</v>
      </c>
      <c r="X30" s="86">
        <f t="shared" si="12"/>
        <v>0</v>
      </c>
      <c r="AS30" s="118"/>
      <c r="AT30" s="118"/>
    </row>
    <row r="31" spans="1:48" ht="12.4" customHeight="1" x14ac:dyDescent="0.2">
      <c r="A31" s="59">
        <v>4.835777759552002</v>
      </c>
      <c r="B31" s="158">
        <v>0</v>
      </c>
      <c r="C31" s="158">
        <f t="shared" si="1"/>
        <v>1</v>
      </c>
      <c r="D31" s="60">
        <f t="shared" si="2"/>
        <v>0</v>
      </c>
      <c r="E31" s="58">
        <f>(2*Table!$AC$16*0.147)/A31</f>
        <v>18.953535464726315</v>
      </c>
      <c r="F31" s="58">
        <f t="shared" si="3"/>
        <v>37.90707092945263</v>
      </c>
      <c r="G31" s="59">
        <f>IF((('Raw Data'!C31)/('Raw Data'!C$136)*100)&lt;0,0,('Raw Data'!C31)/('Raw Data'!C$136)*100)</f>
        <v>0</v>
      </c>
      <c r="H31" s="59">
        <f t="shared" si="4"/>
        <v>0</v>
      </c>
      <c r="I31" s="99">
        <f t="shared" si="5"/>
        <v>3.897425218467454E-2</v>
      </c>
      <c r="J31" s="58">
        <f>'Raw Data'!F31/I31</f>
        <v>0</v>
      </c>
      <c r="K31" s="74">
        <f t="shared" si="6"/>
        <v>1.2890394386805079E-2</v>
      </c>
      <c r="L31" s="59">
        <f>A31*Table!$AC$9/$AC$16</f>
        <v>1.0858132530630304</v>
      </c>
      <c r="M31" s="59">
        <f>A31*Table!$AD$9/$AC$16</f>
        <v>0.37227882962161046</v>
      </c>
      <c r="N31" s="59">
        <f>ABS(A31*Table!$AE$9/$AC$16)</f>
        <v>0.470170930459203</v>
      </c>
      <c r="O31" s="59">
        <f>($L31*(Table!$AC$10/Table!$AC$9)/(Table!$AC$12-Table!$AC$14))</f>
        <v>2.3290717568919574</v>
      </c>
      <c r="P31" s="59">
        <f>ROUND(($N31*(Table!$AE$10/Table!$AE$9)/(Table!$AC$12-Table!$AC$13)),2)</f>
        <v>3.86</v>
      </c>
      <c r="Q31" s="59">
        <f>'Raw Data'!C31</f>
        <v>0</v>
      </c>
      <c r="R31" s="59">
        <f>'Raw Data'!C31/'Raw Data'!I$30*100</f>
        <v>0</v>
      </c>
      <c r="S31" s="109">
        <f t="shared" si="7"/>
        <v>0</v>
      </c>
      <c r="T31" s="109">
        <f t="shared" si="8"/>
        <v>1</v>
      </c>
      <c r="U31" s="77">
        <f t="shared" si="9"/>
        <v>0</v>
      </c>
      <c r="V31" s="77">
        <f t="shared" si="10"/>
        <v>0</v>
      </c>
      <c r="W31" s="77">
        <f t="shared" si="11"/>
        <v>0</v>
      </c>
      <c r="X31" s="86">
        <f t="shared" si="12"/>
        <v>0</v>
      </c>
      <c r="AS31" s="118"/>
      <c r="AT31" s="118"/>
    </row>
    <row r="32" spans="1:48" ht="12.4" customHeight="1" x14ac:dyDescent="0.2">
      <c r="A32" s="59">
        <v>5.2756175994873047</v>
      </c>
      <c r="B32" s="158">
        <v>0</v>
      </c>
      <c r="C32" s="158">
        <f t="shared" si="1"/>
        <v>1</v>
      </c>
      <c r="D32" s="60">
        <f t="shared" si="2"/>
        <v>0</v>
      </c>
      <c r="E32" s="58">
        <f>(2*Table!$AC$16*0.147)/A32</f>
        <v>17.373337535705936</v>
      </c>
      <c r="F32" s="58">
        <f t="shared" si="3"/>
        <v>34.746675071411872</v>
      </c>
      <c r="G32" s="59">
        <f>IF((('Raw Data'!C32)/('Raw Data'!C$136)*100)&lt;0,0,('Raw Data'!C32)/('Raw Data'!C$136)*100)</f>
        <v>0</v>
      </c>
      <c r="H32" s="59">
        <f t="shared" si="4"/>
        <v>0</v>
      </c>
      <c r="I32" s="99">
        <f t="shared" si="5"/>
        <v>3.7806974854571074E-2</v>
      </c>
      <c r="J32" s="58">
        <f>'Raw Data'!F32/I32</f>
        <v>0</v>
      </c>
      <c r="K32" s="74">
        <f t="shared" si="6"/>
        <v>1.406284467002912E-2</v>
      </c>
      <c r="L32" s="59">
        <f>A32*Table!$AC$9/$AC$16</f>
        <v>1.1845737733296025</v>
      </c>
      <c r="M32" s="59">
        <f>A32*Table!$AD$9/$AC$16</f>
        <v>0.40613957942729229</v>
      </c>
      <c r="N32" s="59">
        <f>ABS(A32*Table!$AE$9/$AC$16)</f>
        <v>0.51293549018011253</v>
      </c>
      <c r="O32" s="59">
        <f>($L32*(Table!$AC$10/Table!$AC$9)/(Table!$AC$12-Table!$AC$14))</f>
        <v>2.5409132847052822</v>
      </c>
      <c r="P32" s="59">
        <f>ROUND(($N32*(Table!$AE$10/Table!$AE$9)/(Table!$AC$12-Table!$AC$13)),2)</f>
        <v>4.21</v>
      </c>
      <c r="Q32" s="59">
        <f>'Raw Data'!C32</f>
        <v>0</v>
      </c>
      <c r="R32" s="59">
        <f>'Raw Data'!C32/'Raw Data'!I$30*100</f>
        <v>0</v>
      </c>
      <c r="S32" s="109">
        <f t="shared" si="7"/>
        <v>0</v>
      </c>
      <c r="T32" s="109">
        <f t="shared" si="8"/>
        <v>1</v>
      </c>
      <c r="U32" s="77">
        <f t="shared" si="9"/>
        <v>0</v>
      </c>
      <c r="V32" s="77">
        <f t="shared" si="10"/>
        <v>0</v>
      </c>
      <c r="W32" s="77">
        <f t="shared" si="11"/>
        <v>0</v>
      </c>
      <c r="X32" s="86">
        <f t="shared" si="12"/>
        <v>0</v>
      </c>
      <c r="AS32" s="118"/>
      <c r="AT32" s="118"/>
    </row>
    <row r="33" spans="1:46" ht="12.4" customHeight="1" x14ac:dyDescent="0.2">
      <c r="A33" s="59">
        <v>5.7682843208312988</v>
      </c>
      <c r="B33" s="158">
        <v>0</v>
      </c>
      <c r="C33" s="158">
        <f t="shared" si="1"/>
        <v>1</v>
      </c>
      <c r="D33" s="60">
        <f t="shared" si="2"/>
        <v>0</v>
      </c>
      <c r="E33" s="58">
        <f>(2*Table!$AC$16*0.147)/A33</f>
        <v>15.889488133274735</v>
      </c>
      <c r="F33" s="58">
        <f t="shared" si="3"/>
        <v>31.778976266549471</v>
      </c>
      <c r="G33" s="59">
        <f>IF((('Raw Data'!C33)/('Raw Data'!C$136)*100)&lt;0,0,('Raw Data'!C33)/('Raw Data'!C$136)*100)</f>
        <v>0</v>
      </c>
      <c r="H33" s="59">
        <f t="shared" si="4"/>
        <v>0</v>
      </c>
      <c r="I33" s="99">
        <f t="shared" si="5"/>
        <v>3.8773350375797211E-2</v>
      </c>
      <c r="J33" s="58">
        <f>'Raw Data'!F33/I33</f>
        <v>0</v>
      </c>
      <c r="K33" s="74">
        <f t="shared" si="6"/>
        <v>1.5376111874427412E-2</v>
      </c>
      <c r="L33" s="59">
        <f>A33*Table!$AC$9/$AC$16</f>
        <v>1.2951959073434656</v>
      </c>
      <c r="M33" s="59">
        <f>A33*Table!$AD$9/$AC$16</f>
        <v>0.44406716823204534</v>
      </c>
      <c r="N33" s="59">
        <f>ABS(A33*Table!$AE$9/$AC$16)</f>
        <v>0.56083627931853863</v>
      </c>
      <c r="O33" s="59">
        <f>($L33*(Table!$AC$10/Table!$AC$9)/(Table!$AC$12-Table!$AC$14))</f>
        <v>2.7781979994497337</v>
      </c>
      <c r="P33" s="59">
        <f>ROUND(($N33*(Table!$AE$10/Table!$AE$9)/(Table!$AC$12-Table!$AC$13)),2)</f>
        <v>4.5999999999999996</v>
      </c>
      <c r="Q33" s="59">
        <f>'Raw Data'!C33</f>
        <v>0</v>
      </c>
      <c r="R33" s="59">
        <f>'Raw Data'!C33/'Raw Data'!I$30*100</f>
        <v>0</v>
      </c>
      <c r="S33" s="109">
        <f t="shared" si="7"/>
        <v>0</v>
      </c>
      <c r="T33" s="109">
        <f t="shared" si="8"/>
        <v>1</v>
      </c>
      <c r="U33" s="77">
        <f t="shared" si="9"/>
        <v>0</v>
      </c>
      <c r="V33" s="77">
        <f t="shared" si="10"/>
        <v>0</v>
      </c>
      <c r="W33" s="77">
        <f t="shared" si="11"/>
        <v>0</v>
      </c>
      <c r="X33" s="86">
        <f t="shared" si="12"/>
        <v>0</v>
      </c>
      <c r="AS33" s="118"/>
      <c r="AT33" s="118"/>
    </row>
    <row r="34" spans="1:46" ht="12.4" customHeight="1" x14ac:dyDescent="0.2">
      <c r="A34" s="59">
        <v>6.3048362731933594</v>
      </c>
      <c r="B34" s="158">
        <v>0</v>
      </c>
      <c r="C34" s="158">
        <f t="shared" si="1"/>
        <v>1</v>
      </c>
      <c r="D34" s="60">
        <f t="shared" si="2"/>
        <v>0</v>
      </c>
      <c r="E34" s="58">
        <f>(2*Table!$AC$16*0.147)/A34</f>
        <v>14.537266519496933</v>
      </c>
      <c r="F34" s="58">
        <f t="shared" si="3"/>
        <v>29.074533038993867</v>
      </c>
      <c r="G34" s="59">
        <f>IF((('Raw Data'!C34)/('Raw Data'!C$136)*100)&lt;0,0,('Raw Data'!C34)/('Raw Data'!C$136)*100)</f>
        <v>0</v>
      </c>
      <c r="H34" s="59">
        <f t="shared" si="4"/>
        <v>0</v>
      </c>
      <c r="I34" s="99">
        <f t="shared" si="5"/>
        <v>3.8627154330431512E-2</v>
      </c>
      <c r="J34" s="58">
        <f>'Raw Data'!F34/I34</f>
        <v>0</v>
      </c>
      <c r="K34" s="74">
        <f t="shared" si="6"/>
        <v>1.6806360868251716E-2</v>
      </c>
      <c r="L34" s="59">
        <f>A34*Table!$AC$9/$AC$16</f>
        <v>1.4156719196417524</v>
      </c>
      <c r="M34" s="59">
        <f>A34*Table!$AD$9/$AC$16</f>
        <v>0.48537322959145796</v>
      </c>
      <c r="N34" s="59">
        <f>ABS(A34*Table!$AE$9/$AC$16)</f>
        <v>0.61300392291702011</v>
      </c>
      <c r="O34" s="59">
        <f>($L34*(Table!$AC$10/Table!$AC$9)/(Table!$AC$12-Table!$AC$14))</f>
        <v>3.0366193042508636</v>
      </c>
      <c r="P34" s="59">
        <f>ROUND(($N34*(Table!$AE$10/Table!$AE$9)/(Table!$AC$12-Table!$AC$13)),2)</f>
        <v>5.03</v>
      </c>
      <c r="Q34" s="59">
        <f>'Raw Data'!C34</f>
        <v>0</v>
      </c>
      <c r="R34" s="59">
        <f>'Raw Data'!C34/'Raw Data'!I$30*100</f>
        <v>0</v>
      </c>
      <c r="S34" s="109">
        <f t="shared" si="7"/>
        <v>0</v>
      </c>
      <c r="T34" s="109">
        <f t="shared" si="8"/>
        <v>1</v>
      </c>
      <c r="U34" s="77">
        <f t="shared" si="9"/>
        <v>0</v>
      </c>
      <c r="V34" s="77">
        <f t="shared" si="10"/>
        <v>0</v>
      </c>
      <c r="W34" s="77">
        <f t="shared" si="11"/>
        <v>0</v>
      </c>
      <c r="X34" s="86">
        <f t="shared" si="12"/>
        <v>0</v>
      </c>
      <c r="AS34" s="118"/>
      <c r="AT34" s="118"/>
    </row>
    <row r="35" spans="1:46" ht="12.4" customHeight="1" x14ac:dyDescent="0.2">
      <c r="A35" s="59">
        <v>6.9050431251525879</v>
      </c>
      <c r="B35" s="158">
        <v>0</v>
      </c>
      <c r="C35" s="158">
        <f t="shared" si="1"/>
        <v>1</v>
      </c>
      <c r="D35" s="60">
        <f t="shared" si="2"/>
        <v>0</v>
      </c>
      <c r="E35" s="58">
        <f>(2*Table!$AC$16*0.147)/A35</f>
        <v>13.273644147324314</v>
      </c>
      <c r="F35" s="58">
        <f t="shared" si="3"/>
        <v>26.547288294648627</v>
      </c>
      <c r="G35" s="59">
        <f>IF((('Raw Data'!C35)/('Raw Data'!C$136)*100)&lt;0,0,('Raw Data'!C35)/('Raw Data'!C$136)*100)</f>
        <v>0</v>
      </c>
      <c r="H35" s="59">
        <f t="shared" si="4"/>
        <v>0</v>
      </c>
      <c r="I35" s="99">
        <f t="shared" si="5"/>
        <v>3.9492582188504821E-2</v>
      </c>
      <c r="J35" s="58">
        <f>'Raw Data'!F35/I35</f>
        <v>0</v>
      </c>
      <c r="K35" s="74">
        <f t="shared" si="6"/>
        <v>1.8406290273637368E-2</v>
      </c>
      <c r="L35" s="59">
        <f>A35*Table!$AC$9/$AC$16</f>
        <v>1.5504408413832982</v>
      </c>
      <c r="M35" s="59">
        <f>A35*Table!$AD$9/$AC$16</f>
        <v>0.53157971704570217</v>
      </c>
      <c r="N35" s="59">
        <f>ABS(A35*Table!$AE$9/$AC$16)</f>
        <v>0.67136057785142778</v>
      </c>
      <c r="O35" s="59">
        <f>($L35*(Table!$AC$10/Table!$AC$9)/(Table!$AC$12-Table!$AC$14))</f>
        <v>3.325698930466106</v>
      </c>
      <c r="P35" s="59">
        <f>ROUND(($N35*(Table!$AE$10/Table!$AE$9)/(Table!$AC$12-Table!$AC$13)),2)</f>
        <v>5.51</v>
      </c>
      <c r="Q35" s="59">
        <f>'Raw Data'!C35</f>
        <v>0</v>
      </c>
      <c r="R35" s="59">
        <f>'Raw Data'!C35/'Raw Data'!I$30*100</f>
        <v>0</v>
      </c>
      <c r="S35" s="109">
        <f t="shared" si="7"/>
        <v>0</v>
      </c>
      <c r="T35" s="109">
        <f t="shared" si="8"/>
        <v>1</v>
      </c>
      <c r="U35" s="77">
        <f t="shared" si="9"/>
        <v>0</v>
      </c>
      <c r="V35" s="77">
        <f t="shared" si="10"/>
        <v>0</v>
      </c>
      <c r="W35" s="77">
        <f t="shared" si="11"/>
        <v>0</v>
      </c>
      <c r="X35" s="86">
        <f t="shared" si="12"/>
        <v>0</v>
      </c>
      <c r="AS35" s="118"/>
      <c r="AT35" s="118"/>
    </row>
    <row r="36" spans="1:46" ht="12.4" customHeight="1" x14ac:dyDescent="0.2">
      <c r="A36" s="59">
        <v>7.5520882606506348</v>
      </c>
      <c r="B36" s="158">
        <v>0</v>
      </c>
      <c r="C36" s="158">
        <f t="shared" si="1"/>
        <v>1</v>
      </c>
      <c r="D36" s="60">
        <f t="shared" si="2"/>
        <v>0</v>
      </c>
      <c r="E36" s="58">
        <f>(2*Table!$AC$16*0.147)/A36</f>
        <v>12.136389578861634</v>
      </c>
      <c r="F36" s="58">
        <f t="shared" si="3"/>
        <v>24.272779157723267</v>
      </c>
      <c r="G36" s="59">
        <f>IF((('Raw Data'!C36)/('Raw Data'!C$136)*100)&lt;0,0,('Raw Data'!C36)/('Raw Data'!C$136)*100)</f>
        <v>0</v>
      </c>
      <c r="H36" s="59">
        <f t="shared" si="4"/>
        <v>0</v>
      </c>
      <c r="I36" s="99">
        <f t="shared" si="5"/>
        <v>3.8900661593697761E-2</v>
      </c>
      <c r="J36" s="58">
        <f>'Raw Data'!F36/I36</f>
        <v>0</v>
      </c>
      <c r="K36" s="74">
        <f t="shared" si="6"/>
        <v>2.0131073213911749E-2</v>
      </c>
      <c r="L36" s="59">
        <f>A36*Table!$AC$9/$AC$16</f>
        <v>1.6957267123201858</v>
      </c>
      <c r="M36" s="59">
        <f>A36*Table!$AD$9/$AC$16</f>
        <v>0.5813920156526351</v>
      </c>
      <c r="N36" s="59">
        <f>ABS(A36*Table!$AE$9/$AC$16)</f>
        <v>0.73427120537257373</v>
      </c>
      <c r="O36" s="59">
        <f>($L36*(Table!$AC$10/Table!$AC$9)/(Table!$AC$12-Table!$AC$14))</f>
        <v>3.6373374352642345</v>
      </c>
      <c r="P36" s="59">
        <f>ROUND(($N36*(Table!$AE$10/Table!$AE$9)/(Table!$AC$12-Table!$AC$13)),2)</f>
        <v>6.03</v>
      </c>
      <c r="Q36" s="59">
        <f>'Raw Data'!C36</f>
        <v>0</v>
      </c>
      <c r="R36" s="59">
        <f>'Raw Data'!C36/'Raw Data'!I$30*100</f>
        <v>0</v>
      </c>
      <c r="S36" s="109">
        <f t="shared" si="7"/>
        <v>0</v>
      </c>
      <c r="T36" s="109">
        <f t="shared" si="8"/>
        <v>1</v>
      </c>
      <c r="U36" s="77">
        <f t="shared" si="9"/>
        <v>0</v>
      </c>
      <c r="V36" s="77">
        <f t="shared" si="10"/>
        <v>0</v>
      </c>
      <c r="W36" s="77">
        <f t="shared" si="11"/>
        <v>0</v>
      </c>
      <c r="X36" s="86">
        <f t="shared" si="12"/>
        <v>0</v>
      </c>
      <c r="AS36" s="118"/>
      <c r="AT36" s="118"/>
    </row>
    <row r="37" spans="1:46" ht="12.4" customHeight="1" x14ac:dyDescent="0.2">
      <c r="A37" s="59">
        <v>8.2457265853881836</v>
      </c>
      <c r="B37" s="158">
        <v>0</v>
      </c>
      <c r="C37" s="158">
        <f t="shared" si="1"/>
        <v>1</v>
      </c>
      <c r="D37" s="60">
        <f t="shared" si="2"/>
        <v>0</v>
      </c>
      <c r="E37" s="58">
        <f>(2*Table!$AC$16*0.147)/A37</f>
        <v>11.115465000697546</v>
      </c>
      <c r="F37" s="58">
        <f t="shared" si="3"/>
        <v>22.230930001395091</v>
      </c>
      <c r="G37" s="59">
        <f>IF((('Raw Data'!C37)/('Raw Data'!C$136)*100)&lt;0,0,('Raw Data'!C37)/('Raw Data'!C$136)*100)</f>
        <v>0</v>
      </c>
      <c r="H37" s="59">
        <f t="shared" si="4"/>
        <v>0</v>
      </c>
      <c r="I37" s="99">
        <f t="shared" si="5"/>
        <v>3.8161873335169627E-2</v>
      </c>
      <c r="J37" s="58">
        <f>'Raw Data'!F37/I37</f>
        <v>0</v>
      </c>
      <c r="K37" s="74">
        <f t="shared" si="6"/>
        <v>2.1980056358351811E-2</v>
      </c>
      <c r="L37" s="59">
        <f>A37*Table!$AC$9/$AC$16</f>
        <v>1.8514744996010972</v>
      </c>
      <c r="M37" s="59">
        <f>A37*Table!$AD$9/$AC$16</f>
        <v>0.63479125700609051</v>
      </c>
      <c r="N37" s="59">
        <f>ABS(A37*Table!$AE$9/$AC$16)</f>
        <v>0.80171197555681595</v>
      </c>
      <c r="O37" s="59">
        <f>($L37*(Table!$AC$10/Table!$AC$9)/(Table!$AC$12-Table!$AC$14))</f>
        <v>3.9714167730611272</v>
      </c>
      <c r="P37" s="59">
        <f>ROUND(($N37*(Table!$AE$10/Table!$AE$9)/(Table!$AC$12-Table!$AC$13)),2)</f>
        <v>6.58</v>
      </c>
      <c r="Q37" s="59">
        <f>'Raw Data'!C37</f>
        <v>0</v>
      </c>
      <c r="R37" s="59">
        <f>'Raw Data'!C37/'Raw Data'!I$30*100</f>
        <v>0</v>
      </c>
      <c r="S37" s="109">
        <f t="shared" si="7"/>
        <v>0</v>
      </c>
      <c r="T37" s="109">
        <f t="shared" si="8"/>
        <v>1</v>
      </c>
      <c r="U37" s="77">
        <f t="shared" si="9"/>
        <v>0</v>
      </c>
      <c r="V37" s="77">
        <f t="shared" si="10"/>
        <v>0</v>
      </c>
      <c r="W37" s="77">
        <f t="shared" si="11"/>
        <v>0</v>
      </c>
      <c r="X37" s="86">
        <f t="shared" si="12"/>
        <v>0</v>
      </c>
      <c r="AS37" s="118"/>
      <c r="AT37" s="118"/>
    </row>
    <row r="38" spans="1:46" ht="12.4" customHeight="1" x14ac:dyDescent="0.2">
      <c r="A38" s="59">
        <v>9.0223779678344727</v>
      </c>
      <c r="B38" s="158">
        <v>0</v>
      </c>
      <c r="C38" s="158">
        <f t="shared" si="1"/>
        <v>1</v>
      </c>
      <c r="D38" s="60">
        <f t="shared" si="2"/>
        <v>0</v>
      </c>
      <c r="E38" s="58">
        <f>(2*Table!$AC$16*0.147)/A38</f>
        <v>10.158639506343187</v>
      </c>
      <c r="F38" s="58">
        <f t="shared" si="3"/>
        <v>20.317279012686374</v>
      </c>
      <c r="G38" s="59">
        <f>IF((('Raw Data'!C38)/('Raw Data'!C$136)*100)&lt;0,0,('Raw Data'!C38)/('Raw Data'!C$136)*100)</f>
        <v>0</v>
      </c>
      <c r="H38" s="59">
        <f t="shared" si="4"/>
        <v>0</v>
      </c>
      <c r="I38" s="99">
        <f t="shared" si="5"/>
        <v>3.9092086501956391E-2</v>
      </c>
      <c r="J38" s="58">
        <f>'Raw Data'!F38/I38</f>
        <v>0</v>
      </c>
      <c r="K38" s="74">
        <f t="shared" si="6"/>
        <v>2.405032160183097E-2</v>
      </c>
      <c r="L38" s="59">
        <f>A38*Table!$AC$9/$AC$16</f>
        <v>2.0258618279691465</v>
      </c>
      <c r="M38" s="59">
        <f>A38*Table!$AD$9/$AC$16</f>
        <v>0.69458119816085029</v>
      </c>
      <c r="N38" s="59">
        <f>ABS(A38*Table!$AE$9/$AC$16)</f>
        <v>0.87722390378923065</v>
      </c>
      <c r="O38" s="59">
        <f>($L38*(Table!$AC$10/Table!$AC$9)/(Table!$AC$12-Table!$AC$14))</f>
        <v>4.3454779664717869</v>
      </c>
      <c r="P38" s="59">
        <f>ROUND(($N38*(Table!$AE$10/Table!$AE$9)/(Table!$AC$12-Table!$AC$13)),2)</f>
        <v>7.2</v>
      </c>
      <c r="Q38" s="59">
        <f>'Raw Data'!C38</f>
        <v>0</v>
      </c>
      <c r="R38" s="59">
        <f>'Raw Data'!C38/'Raw Data'!I$30*100</f>
        <v>0</v>
      </c>
      <c r="S38" s="109">
        <f t="shared" si="7"/>
        <v>0</v>
      </c>
      <c r="T38" s="109">
        <f t="shared" si="8"/>
        <v>1</v>
      </c>
      <c r="U38" s="77">
        <f t="shared" si="9"/>
        <v>0</v>
      </c>
      <c r="V38" s="77">
        <f t="shared" si="10"/>
        <v>0</v>
      </c>
      <c r="W38" s="77">
        <f t="shared" si="11"/>
        <v>0</v>
      </c>
      <c r="X38" s="86">
        <f t="shared" si="12"/>
        <v>0</v>
      </c>
      <c r="AS38" s="118"/>
      <c r="AT38" s="118"/>
    </row>
    <row r="39" spans="1:46" ht="12.4" customHeight="1" x14ac:dyDescent="0.2">
      <c r="A39" s="59">
        <v>9.8756437301635742</v>
      </c>
      <c r="B39" s="158">
        <v>0</v>
      </c>
      <c r="C39" s="158">
        <f t="shared" si="1"/>
        <v>1</v>
      </c>
      <c r="D39" s="60">
        <f t="shared" si="2"/>
        <v>0</v>
      </c>
      <c r="E39" s="58">
        <f>(2*Table!$AC$16*0.147)/A39</f>
        <v>9.2809226182651603</v>
      </c>
      <c r="F39" s="58">
        <f t="shared" si="3"/>
        <v>18.561845236530321</v>
      </c>
      <c r="G39" s="59">
        <f>IF((('Raw Data'!C39)/('Raw Data'!C$136)*100)&lt;0,0,('Raw Data'!C39)/('Raw Data'!C$136)*100)</f>
        <v>0</v>
      </c>
      <c r="H39" s="59">
        <f t="shared" si="4"/>
        <v>0</v>
      </c>
      <c r="I39" s="99">
        <f t="shared" si="5"/>
        <v>3.9244397384067597E-2</v>
      </c>
      <c r="J39" s="58">
        <f>'Raw Data'!F39/I39</f>
        <v>0</v>
      </c>
      <c r="K39" s="74">
        <f t="shared" si="6"/>
        <v>2.6324812436620486E-2</v>
      </c>
      <c r="L39" s="59">
        <f>A39*Table!$AC$9/$AC$16</f>
        <v>2.2174519545608411</v>
      </c>
      <c r="M39" s="59">
        <f>A39*Table!$AD$9/$AC$16</f>
        <v>0.76026924156371689</v>
      </c>
      <c r="N39" s="59">
        <f>ABS(A39*Table!$AE$9/$AC$16)</f>
        <v>0.96018486216057264</v>
      </c>
      <c r="O39" s="59">
        <f>($L39*(Table!$AC$10/Table!$AC$9)/(Table!$AC$12-Table!$AC$14))</f>
        <v>4.7564391989722035</v>
      </c>
      <c r="P39" s="59">
        <f>ROUND(($N39*(Table!$AE$10/Table!$AE$9)/(Table!$AC$12-Table!$AC$13)),2)</f>
        <v>7.88</v>
      </c>
      <c r="Q39" s="59">
        <f>'Raw Data'!C39</f>
        <v>0</v>
      </c>
      <c r="R39" s="59">
        <f>'Raw Data'!C39/'Raw Data'!I$30*100</f>
        <v>0</v>
      </c>
      <c r="S39" s="109">
        <f t="shared" si="7"/>
        <v>0</v>
      </c>
      <c r="T39" s="109">
        <f t="shared" si="8"/>
        <v>1</v>
      </c>
      <c r="U39" s="77">
        <f t="shared" si="9"/>
        <v>0</v>
      </c>
      <c r="V39" s="77">
        <f t="shared" si="10"/>
        <v>0</v>
      </c>
      <c r="W39" s="77">
        <f t="shared" si="11"/>
        <v>0</v>
      </c>
      <c r="X39" s="86">
        <f t="shared" si="12"/>
        <v>0</v>
      </c>
      <c r="AS39" s="118"/>
      <c r="AT39" s="118"/>
    </row>
    <row r="40" spans="1:46" ht="12.4" customHeight="1" x14ac:dyDescent="0.2">
      <c r="A40" s="59">
        <v>10.786002159118652</v>
      </c>
      <c r="B40" s="158">
        <v>0</v>
      </c>
      <c r="C40" s="158">
        <f t="shared" si="1"/>
        <v>1</v>
      </c>
      <c r="D40" s="60">
        <f t="shared" si="2"/>
        <v>0</v>
      </c>
      <c r="E40" s="58">
        <f>(2*Table!$AC$16*0.147)/A40</f>
        <v>8.4975956719716592</v>
      </c>
      <c r="F40" s="58">
        <f t="shared" si="3"/>
        <v>16.995191343943318</v>
      </c>
      <c r="G40" s="59">
        <f>IF((('Raw Data'!C40)/('Raw Data'!C$136)*100)&lt;0,0,('Raw Data'!C40)/('Raw Data'!C$136)*100)</f>
        <v>0</v>
      </c>
      <c r="H40" s="59">
        <f t="shared" si="4"/>
        <v>0</v>
      </c>
      <c r="I40" s="99">
        <f t="shared" si="5"/>
        <v>3.82950887825938E-2</v>
      </c>
      <c r="J40" s="58">
        <f>'Raw Data'!F40/I40</f>
        <v>0</v>
      </c>
      <c r="K40" s="74">
        <f t="shared" si="6"/>
        <v>2.8751491197736748E-2</v>
      </c>
      <c r="L40" s="59">
        <f>A40*Table!$AC$9/$AC$16</f>
        <v>2.4218615234754881</v>
      </c>
      <c r="M40" s="59">
        <f>A40*Table!$AD$9/$AC$16</f>
        <v>0.83035252233445311</v>
      </c>
      <c r="N40" s="59">
        <f>ABS(A40*Table!$AE$9/$AC$16)</f>
        <v>1.0486968018889278</v>
      </c>
      <c r="O40" s="59">
        <f>($L40*(Table!$AC$10/Table!$AC$9)/(Table!$AC$12-Table!$AC$14))</f>
        <v>5.1948981627530859</v>
      </c>
      <c r="P40" s="59">
        <f>ROUND(($N40*(Table!$AE$10/Table!$AE$9)/(Table!$AC$12-Table!$AC$13)),2)</f>
        <v>8.61</v>
      </c>
      <c r="Q40" s="59">
        <f>'Raw Data'!C40</f>
        <v>0</v>
      </c>
      <c r="R40" s="59">
        <f>'Raw Data'!C40/'Raw Data'!I$30*100</f>
        <v>0</v>
      </c>
      <c r="S40" s="109">
        <f t="shared" si="7"/>
        <v>0</v>
      </c>
      <c r="T40" s="109">
        <f t="shared" si="8"/>
        <v>1</v>
      </c>
      <c r="U40" s="77">
        <f t="shared" si="9"/>
        <v>0</v>
      </c>
      <c r="V40" s="77">
        <f t="shared" si="10"/>
        <v>0</v>
      </c>
      <c r="W40" s="77">
        <f t="shared" si="11"/>
        <v>0</v>
      </c>
      <c r="X40" s="86">
        <f t="shared" si="12"/>
        <v>0</v>
      </c>
      <c r="AS40" s="118"/>
      <c r="AT40" s="118"/>
    </row>
    <row r="41" spans="1:46" ht="12.4" customHeight="1" x14ac:dyDescent="0.2">
      <c r="A41" s="59">
        <v>11.88691520690918</v>
      </c>
      <c r="B41" s="158">
        <v>0</v>
      </c>
      <c r="C41" s="158">
        <f t="shared" si="1"/>
        <v>1</v>
      </c>
      <c r="D41" s="60">
        <f t="shared" si="2"/>
        <v>0</v>
      </c>
      <c r="E41" s="58">
        <f>(2*Table!$AC$16*0.147)/A41</f>
        <v>7.7105862765749196</v>
      </c>
      <c r="F41" s="58">
        <f t="shared" si="3"/>
        <v>15.421172553149839</v>
      </c>
      <c r="G41" s="59">
        <f>IF((('Raw Data'!C41)/('Raw Data'!C$136)*100)&lt;0,0,('Raw Data'!C41)/('Raw Data'!C$136)*100)</f>
        <v>0</v>
      </c>
      <c r="H41" s="59">
        <f t="shared" si="4"/>
        <v>0</v>
      </c>
      <c r="I41" s="99">
        <f t="shared" si="5"/>
        <v>4.2208661870261399E-2</v>
      </c>
      <c r="J41" s="58">
        <f>'Raw Data'!F41/I41</f>
        <v>0</v>
      </c>
      <c r="K41" s="74">
        <f t="shared" si="6"/>
        <v>3.1686118072093809E-2</v>
      </c>
      <c r="L41" s="59">
        <f>A41*Table!$AC$9/$AC$16</f>
        <v>2.6690577424083681</v>
      </c>
      <c r="M41" s="59">
        <f>A41*Table!$AD$9/$AC$16</f>
        <v>0.91510551168286913</v>
      </c>
      <c r="N41" s="59">
        <f>ABS(A41*Table!$AE$9/$AC$16)</f>
        <v>1.1557359045465947</v>
      </c>
      <c r="O41" s="59">
        <f>($L41*(Table!$AC$10/Table!$AC$9)/(Table!$AC$12-Table!$AC$14))</f>
        <v>5.7251345826005329</v>
      </c>
      <c r="P41" s="59">
        <f>ROUND(($N41*(Table!$AE$10/Table!$AE$9)/(Table!$AC$12-Table!$AC$13)),2)</f>
        <v>9.49</v>
      </c>
      <c r="Q41" s="59">
        <f>'Raw Data'!C41</f>
        <v>0</v>
      </c>
      <c r="R41" s="59">
        <f>'Raw Data'!C41/'Raw Data'!I$30*100</f>
        <v>0</v>
      </c>
      <c r="S41" s="109">
        <f t="shared" si="7"/>
        <v>0</v>
      </c>
      <c r="T41" s="109">
        <f t="shared" si="8"/>
        <v>1</v>
      </c>
      <c r="U41" s="77">
        <f t="shared" si="9"/>
        <v>0</v>
      </c>
      <c r="V41" s="77">
        <f t="shared" si="10"/>
        <v>0</v>
      </c>
      <c r="W41" s="77">
        <f t="shared" si="11"/>
        <v>0</v>
      </c>
      <c r="X41" s="86">
        <f t="shared" si="12"/>
        <v>0</v>
      </c>
      <c r="AS41" s="118"/>
      <c r="AT41" s="118"/>
    </row>
    <row r="42" spans="1:46" ht="12.4" customHeight="1" x14ac:dyDescent="0.2">
      <c r="A42" s="59">
        <v>12.87938404083252</v>
      </c>
      <c r="B42" s="158">
        <v>0</v>
      </c>
      <c r="C42" s="158">
        <f t="shared" si="1"/>
        <v>1</v>
      </c>
      <c r="D42" s="60">
        <f t="shared" si="2"/>
        <v>0</v>
      </c>
      <c r="E42" s="58">
        <f>(2*Table!$AC$16*0.147)/A42</f>
        <v>7.116418376424086</v>
      </c>
      <c r="F42" s="58">
        <f t="shared" si="3"/>
        <v>14.232836752848172</v>
      </c>
      <c r="G42" s="59">
        <f>IF((('Raw Data'!C42)/('Raw Data'!C$136)*100)&lt;0,0,('Raw Data'!C42)/('Raw Data'!C$136)*100)</f>
        <v>0</v>
      </c>
      <c r="H42" s="59">
        <f t="shared" si="4"/>
        <v>0</v>
      </c>
      <c r="I42" s="99">
        <f t="shared" si="5"/>
        <v>3.4825928539764073E-2</v>
      </c>
      <c r="J42" s="58">
        <f>'Raw Data'!F42/I42</f>
        <v>0</v>
      </c>
      <c r="K42" s="74">
        <f t="shared" si="6"/>
        <v>3.4331672794002621E-2</v>
      </c>
      <c r="L42" s="59">
        <f>A42*Table!$AC$9/$AC$16</f>
        <v>2.891904173056953</v>
      </c>
      <c r="M42" s="59">
        <f>A42*Table!$AD$9/$AC$16</f>
        <v>0.99151000219095531</v>
      </c>
      <c r="N42" s="59">
        <f>ABS(A42*Table!$AE$9/$AC$16)</f>
        <v>1.2522312395887756</v>
      </c>
      <c r="O42" s="59">
        <f>($L42*(Table!$AC$10/Table!$AC$9)/(Table!$AC$12-Table!$AC$14))</f>
        <v>6.2031406543478189</v>
      </c>
      <c r="P42" s="59">
        <f>ROUND(($N42*(Table!$AE$10/Table!$AE$9)/(Table!$AC$12-Table!$AC$13)),2)</f>
        <v>10.28</v>
      </c>
      <c r="Q42" s="59">
        <f>'Raw Data'!C42</f>
        <v>0</v>
      </c>
      <c r="R42" s="59">
        <f>'Raw Data'!C42/'Raw Data'!I$30*100</f>
        <v>0</v>
      </c>
      <c r="S42" s="109">
        <f t="shared" si="7"/>
        <v>0</v>
      </c>
      <c r="T42" s="109">
        <f t="shared" si="8"/>
        <v>1</v>
      </c>
      <c r="U42" s="77">
        <f t="shared" si="9"/>
        <v>0</v>
      </c>
      <c r="V42" s="77">
        <f t="shared" si="10"/>
        <v>0</v>
      </c>
      <c r="W42" s="77">
        <f t="shared" si="11"/>
        <v>0</v>
      </c>
      <c r="X42" s="86">
        <f t="shared" si="12"/>
        <v>0</v>
      </c>
      <c r="AS42" s="118"/>
      <c r="AT42" s="118"/>
    </row>
    <row r="43" spans="1:46" ht="12.4" customHeight="1" x14ac:dyDescent="0.2">
      <c r="A43" s="59">
        <v>14.18340015411377</v>
      </c>
      <c r="B43" s="158">
        <v>0</v>
      </c>
      <c r="C43" s="158">
        <f t="shared" si="1"/>
        <v>1</v>
      </c>
      <c r="D43" s="60">
        <f t="shared" si="2"/>
        <v>0</v>
      </c>
      <c r="E43" s="58">
        <f>(2*Table!$AC$16*0.147)/A43</f>
        <v>6.4621377292679636</v>
      </c>
      <c r="F43" s="58">
        <f t="shared" si="3"/>
        <v>12.924275458535927</v>
      </c>
      <c r="G43" s="59">
        <f>IF((('Raw Data'!C43)/('Raw Data'!C$136)*100)&lt;0,0,('Raw Data'!C43)/('Raw Data'!C$136)*100)</f>
        <v>0</v>
      </c>
      <c r="H43" s="59">
        <f t="shared" si="4"/>
        <v>0</v>
      </c>
      <c r="I43" s="99">
        <f t="shared" si="5"/>
        <v>4.1885262453951633E-2</v>
      </c>
      <c r="J43" s="58">
        <f>'Raw Data'!F43/I43</f>
        <v>0</v>
      </c>
      <c r="K43" s="74">
        <f t="shared" si="6"/>
        <v>3.7807697297763364E-2</v>
      </c>
      <c r="L43" s="59">
        <f>A43*Table!$AC$9/$AC$16</f>
        <v>3.1847046383413002</v>
      </c>
      <c r="M43" s="59">
        <f>A43*Table!$AD$9/$AC$16</f>
        <v>1.0918987331455885</v>
      </c>
      <c r="N43" s="59">
        <f>ABS(A43*Table!$AE$9/$AC$16)</f>
        <v>1.3790175601768495</v>
      </c>
      <c r="O43" s="59">
        <f>($L43*(Table!$AC$10/Table!$AC$9)/(Table!$AC$12-Table!$AC$14))</f>
        <v>6.8311982804403701</v>
      </c>
      <c r="P43" s="59">
        <f>ROUND(($N43*(Table!$AE$10/Table!$AE$9)/(Table!$AC$12-Table!$AC$13)),2)</f>
        <v>11.32</v>
      </c>
      <c r="Q43" s="59">
        <f>'Raw Data'!C43</f>
        <v>0</v>
      </c>
      <c r="R43" s="59">
        <f>'Raw Data'!C43/'Raw Data'!I$30*100</f>
        <v>0</v>
      </c>
      <c r="S43" s="109">
        <f t="shared" si="7"/>
        <v>0</v>
      </c>
      <c r="T43" s="109">
        <f t="shared" si="8"/>
        <v>1</v>
      </c>
      <c r="U43" s="77">
        <f t="shared" si="9"/>
        <v>0</v>
      </c>
      <c r="V43" s="77">
        <f t="shared" si="10"/>
        <v>0</v>
      </c>
      <c r="W43" s="77">
        <f t="shared" si="11"/>
        <v>0</v>
      </c>
      <c r="X43" s="86">
        <f t="shared" si="12"/>
        <v>0</v>
      </c>
      <c r="AS43" s="118"/>
      <c r="AT43" s="118"/>
    </row>
    <row r="44" spans="1:46" ht="12.4" customHeight="1" x14ac:dyDescent="0.2">
      <c r="A44" s="59">
        <v>15.473307609558105</v>
      </c>
      <c r="B44" s="158">
        <v>0</v>
      </c>
      <c r="C44" s="158">
        <f t="shared" si="1"/>
        <v>1</v>
      </c>
      <c r="D44" s="60">
        <f t="shared" si="2"/>
        <v>0</v>
      </c>
      <c r="E44" s="58">
        <f>(2*Table!$AC$16*0.147)/A44</f>
        <v>5.9234319886839737</v>
      </c>
      <c r="F44" s="58">
        <f t="shared" si="3"/>
        <v>11.846863977367947</v>
      </c>
      <c r="G44" s="59">
        <f>IF((('Raw Data'!C44)/('Raw Data'!C$136)*100)&lt;0,0,('Raw Data'!C44)/('Raw Data'!C$136)*100)</f>
        <v>0</v>
      </c>
      <c r="H44" s="59">
        <f t="shared" si="4"/>
        <v>0</v>
      </c>
      <c r="I44" s="99">
        <f t="shared" si="5"/>
        <v>3.7802803650801353E-2</v>
      </c>
      <c r="J44" s="58">
        <f>'Raw Data'!F44/I44</f>
        <v>0</v>
      </c>
      <c r="K44" s="74">
        <f t="shared" si="6"/>
        <v>4.1246113339591162E-2</v>
      </c>
      <c r="L44" s="59">
        <f>A44*Table!$AC$9/$AC$16</f>
        <v>3.4743371814373303</v>
      </c>
      <c r="M44" s="59">
        <f>A44*Table!$AD$9/$AC$16</f>
        <v>1.1912013193499418</v>
      </c>
      <c r="N44" s="59">
        <f>ABS(A44*Table!$AE$9/$AC$16)</f>
        <v>1.5044321302187764</v>
      </c>
      <c r="O44" s="59">
        <f>($L44*(Table!$AC$10/Table!$AC$9)/(Table!$AC$12-Table!$AC$14))</f>
        <v>7.4524607066437811</v>
      </c>
      <c r="P44" s="59">
        <f>ROUND(($N44*(Table!$AE$10/Table!$AE$9)/(Table!$AC$12-Table!$AC$13)),2)</f>
        <v>12.35</v>
      </c>
      <c r="Q44" s="59">
        <f>'Raw Data'!C44</f>
        <v>0</v>
      </c>
      <c r="R44" s="59">
        <f>'Raw Data'!C44/'Raw Data'!I$30*100</f>
        <v>0</v>
      </c>
      <c r="S44" s="109">
        <f t="shared" si="7"/>
        <v>0</v>
      </c>
      <c r="T44" s="109">
        <f t="shared" si="8"/>
        <v>1</v>
      </c>
      <c r="U44" s="77">
        <f t="shared" si="9"/>
        <v>0</v>
      </c>
      <c r="V44" s="77">
        <f t="shared" si="10"/>
        <v>0</v>
      </c>
      <c r="W44" s="77">
        <f t="shared" si="11"/>
        <v>0</v>
      </c>
      <c r="X44" s="86">
        <f t="shared" si="12"/>
        <v>0</v>
      </c>
      <c r="AS44" s="118"/>
      <c r="AT44" s="118"/>
    </row>
    <row r="45" spans="1:46" ht="12.4" customHeight="1" x14ac:dyDescent="0.2">
      <c r="A45" s="59">
        <v>16.871246337890625</v>
      </c>
      <c r="B45" s="158">
        <v>0</v>
      </c>
      <c r="C45" s="158">
        <f t="shared" si="1"/>
        <v>1</v>
      </c>
      <c r="D45" s="60">
        <f t="shared" si="2"/>
        <v>0</v>
      </c>
      <c r="E45" s="58">
        <f>(2*Table!$AC$16*0.147)/A45</f>
        <v>5.4326208882006686</v>
      </c>
      <c r="F45" s="58">
        <f t="shared" si="3"/>
        <v>10.865241776401337</v>
      </c>
      <c r="G45" s="59">
        <f>IF((('Raw Data'!C45)/('Raw Data'!C$136)*100)&lt;0,0,('Raw Data'!C45)/('Raw Data'!C$136)*100)</f>
        <v>0</v>
      </c>
      <c r="H45" s="59">
        <f t="shared" si="4"/>
        <v>0</v>
      </c>
      <c r="I45" s="99">
        <f t="shared" si="5"/>
        <v>3.7564007221328799E-2</v>
      </c>
      <c r="J45" s="58">
        <f>'Raw Data'!F45/I45</f>
        <v>0</v>
      </c>
      <c r="K45" s="74">
        <f t="shared" si="6"/>
        <v>4.4972500785995309E-2</v>
      </c>
      <c r="L45" s="59">
        <f>A45*Table!$AC$9/$AC$16</f>
        <v>3.7882267920992874</v>
      </c>
      <c r="M45" s="59">
        <f>A45*Table!$AD$9/$AC$16</f>
        <v>1.2988206144340415</v>
      </c>
      <c r="N45" s="59">
        <f>ABS(A45*Table!$AE$9/$AC$16)</f>
        <v>1.6403503186274071</v>
      </c>
      <c r="O45" s="59">
        <f>($L45*(Table!$AC$10/Table!$AC$9)/(Table!$AC$12-Table!$AC$14))</f>
        <v>8.1257545948075673</v>
      </c>
      <c r="P45" s="59">
        <f>ROUND(($N45*(Table!$AE$10/Table!$AE$9)/(Table!$AC$12-Table!$AC$13)),2)</f>
        <v>13.47</v>
      </c>
      <c r="Q45" s="59">
        <f>'Raw Data'!C45</f>
        <v>0</v>
      </c>
      <c r="R45" s="59">
        <f>'Raw Data'!C45/'Raw Data'!I$30*100</f>
        <v>0</v>
      </c>
      <c r="S45" s="109">
        <f t="shared" si="7"/>
        <v>0</v>
      </c>
      <c r="T45" s="109">
        <f t="shared" si="8"/>
        <v>1</v>
      </c>
      <c r="U45" s="77">
        <f t="shared" si="9"/>
        <v>0</v>
      </c>
      <c r="V45" s="77">
        <f t="shared" si="10"/>
        <v>0</v>
      </c>
      <c r="W45" s="77">
        <f t="shared" si="11"/>
        <v>0</v>
      </c>
      <c r="X45" s="86">
        <f t="shared" si="12"/>
        <v>0</v>
      </c>
      <c r="AS45" s="118"/>
      <c r="AT45" s="118"/>
    </row>
    <row r="46" spans="1:46" ht="12.4" customHeight="1" x14ac:dyDescent="0.2">
      <c r="A46" s="59">
        <v>18.465974807739258</v>
      </c>
      <c r="B46" s="158">
        <v>0</v>
      </c>
      <c r="C46" s="158">
        <f t="shared" si="1"/>
        <v>1</v>
      </c>
      <c r="D46" s="60">
        <f t="shared" si="2"/>
        <v>0</v>
      </c>
      <c r="E46" s="58">
        <f>(2*Table!$AC$16*0.147)/A46</f>
        <v>4.9634577226212917</v>
      </c>
      <c r="F46" s="58">
        <f t="shared" si="3"/>
        <v>9.9269154452425834</v>
      </c>
      <c r="G46" s="59">
        <f>IF((('Raw Data'!C46)/('Raw Data'!C$136)*100)&lt;0,0,('Raw Data'!C46)/('Raw Data'!C$136)*100)</f>
        <v>0</v>
      </c>
      <c r="H46" s="59">
        <f t="shared" si="4"/>
        <v>0</v>
      </c>
      <c r="I46" s="99">
        <f t="shared" si="5"/>
        <v>3.9225072113083792E-2</v>
      </c>
      <c r="J46" s="58">
        <f>'Raw Data'!F46/I46</f>
        <v>0</v>
      </c>
      <c r="K46" s="74">
        <f t="shared" si="6"/>
        <v>4.9223456875863152E-2</v>
      </c>
      <c r="L46" s="59">
        <f>A46*Table!$AC$9/$AC$16</f>
        <v>4.1463030713861571</v>
      </c>
      <c r="M46" s="59">
        <f>A46*Table!$AD$9/$AC$16</f>
        <v>1.4215896244752537</v>
      </c>
      <c r="N46" s="59">
        <f>ABS(A46*Table!$AE$9/$AC$16)</f>
        <v>1.7954018958049272</v>
      </c>
      <c r="O46" s="59">
        <f>($L46*(Table!$AC$10/Table!$AC$9)/(Table!$AC$12-Table!$AC$14))</f>
        <v>8.8938289819522911</v>
      </c>
      <c r="P46" s="59">
        <f>ROUND(($N46*(Table!$AE$10/Table!$AE$9)/(Table!$AC$12-Table!$AC$13)),2)</f>
        <v>14.74</v>
      </c>
      <c r="Q46" s="59">
        <f>'Raw Data'!C46</f>
        <v>0</v>
      </c>
      <c r="R46" s="59">
        <f>'Raw Data'!C46/'Raw Data'!I$30*100</f>
        <v>0</v>
      </c>
      <c r="S46" s="109">
        <f t="shared" si="7"/>
        <v>0</v>
      </c>
      <c r="T46" s="109">
        <f t="shared" si="8"/>
        <v>1</v>
      </c>
      <c r="U46" s="77">
        <f t="shared" si="9"/>
        <v>0</v>
      </c>
      <c r="V46" s="77">
        <f t="shared" si="10"/>
        <v>0</v>
      </c>
      <c r="W46" s="77">
        <f t="shared" si="11"/>
        <v>0</v>
      </c>
      <c r="X46" s="86">
        <f t="shared" si="12"/>
        <v>0</v>
      </c>
      <c r="AS46" s="118"/>
      <c r="AT46" s="118"/>
    </row>
    <row r="47" spans="1:46" ht="12.4" customHeight="1" x14ac:dyDescent="0.2">
      <c r="A47" s="59">
        <v>20.259786605834961</v>
      </c>
      <c r="B47" s="158">
        <v>0</v>
      </c>
      <c r="C47" s="158">
        <f t="shared" si="1"/>
        <v>1</v>
      </c>
      <c r="D47" s="60">
        <f t="shared" si="2"/>
        <v>0</v>
      </c>
      <c r="E47" s="58">
        <f>(2*Table!$AC$16*0.147)/A47</f>
        <v>4.5239906544132271</v>
      </c>
      <c r="F47" s="58">
        <f t="shared" si="3"/>
        <v>9.0479813088264542</v>
      </c>
      <c r="G47" s="59">
        <f>IF((('Raw Data'!C47)/('Raw Data'!C$136)*100)&lt;0,0,('Raw Data'!C47)/('Raw Data'!C$136)*100)</f>
        <v>0</v>
      </c>
      <c r="H47" s="59">
        <f t="shared" si="4"/>
        <v>0</v>
      </c>
      <c r="I47" s="99">
        <f t="shared" si="5"/>
        <v>4.0262627933556505E-2</v>
      </c>
      <c r="J47" s="58">
        <f>'Raw Data'!F47/I47</f>
        <v>0</v>
      </c>
      <c r="K47" s="74">
        <f t="shared" si="6"/>
        <v>5.4005095462848124E-2</v>
      </c>
      <c r="L47" s="59">
        <f>A47*Table!$AC$9/$AC$16</f>
        <v>4.5490810154357577</v>
      </c>
      <c r="M47" s="59">
        <f>A47*Table!$AD$9/$AC$16</f>
        <v>1.5596849195779741</v>
      </c>
      <c r="N47" s="59">
        <f>ABS(A47*Table!$AE$9/$AC$16)</f>
        <v>1.9698098616204383</v>
      </c>
      <c r="O47" s="59">
        <f>($L47*(Table!$AC$10/Table!$AC$9)/(Table!$AC$12-Table!$AC$14))</f>
        <v>9.7577885358982375</v>
      </c>
      <c r="P47" s="59">
        <f>ROUND(($N47*(Table!$AE$10/Table!$AE$9)/(Table!$AC$12-Table!$AC$13)),2)</f>
        <v>16.170000000000002</v>
      </c>
      <c r="Q47" s="59">
        <f>'Raw Data'!C47</f>
        <v>0</v>
      </c>
      <c r="R47" s="59">
        <f>'Raw Data'!C47/'Raw Data'!I$30*100</f>
        <v>0</v>
      </c>
      <c r="S47" s="109">
        <f t="shared" si="7"/>
        <v>0</v>
      </c>
      <c r="T47" s="109">
        <f t="shared" si="8"/>
        <v>1</v>
      </c>
      <c r="U47" s="77">
        <f t="shared" si="9"/>
        <v>0</v>
      </c>
      <c r="V47" s="77">
        <f t="shared" si="10"/>
        <v>0</v>
      </c>
      <c r="W47" s="77">
        <f t="shared" si="11"/>
        <v>0</v>
      </c>
      <c r="X47" s="86">
        <f t="shared" si="12"/>
        <v>0</v>
      </c>
      <c r="AS47" s="118"/>
      <c r="AT47" s="118"/>
    </row>
    <row r="48" spans="1:46" ht="12.4" customHeight="1" x14ac:dyDescent="0.2">
      <c r="A48" s="59">
        <v>22.160892486572266</v>
      </c>
      <c r="B48" s="158">
        <v>0</v>
      </c>
      <c r="C48" s="158">
        <f t="shared" si="1"/>
        <v>1</v>
      </c>
      <c r="D48" s="60">
        <f t="shared" si="2"/>
        <v>0</v>
      </c>
      <c r="E48" s="58">
        <f>(2*Table!$AC$16*0.147)/A48</f>
        <v>4.135893232672796</v>
      </c>
      <c r="F48" s="58">
        <f t="shared" si="3"/>
        <v>8.2717864653455919</v>
      </c>
      <c r="G48" s="59">
        <f>IF((('Raw Data'!C48)/('Raw Data'!C$136)*100)&lt;0,0,('Raw Data'!C48)/('Raw Data'!C$136)*100)</f>
        <v>0</v>
      </c>
      <c r="H48" s="59">
        <f t="shared" si="4"/>
        <v>0</v>
      </c>
      <c r="I48" s="99">
        <f t="shared" si="5"/>
        <v>3.8952380097834527E-2</v>
      </c>
      <c r="J48" s="58">
        <f>'Raw Data'!F48/I48</f>
        <v>0</v>
      </c>
      <c r="K48" s="74">
        <f t="shared" si="6"/>
        <v>5.9072740377954513E-2</v>
      </c>
      <c r="L48" s="59">
        <f>A48*Table!$AC$9/$AC$16</f>
        <v>4.9759505002261148</v>
      </c>
      <c r="M48" s="59">
        <f>A48*Table!$AD$9/$AC$16</f>
        <v>1.7060401715060964</v>
      </c>
      <c r="N48" s="59">
        <f>ABS(A48*Table!$AE$9/$AC$16)</f>
        <v>2.1546497705848502</v>
      </c>
      <c r="O48" s="59">
        <f>($L48*(Table!$AC$10/Table!$AC$9)/(Table!$AC$12-Table!$AC$14))</f>
        <v>10.673424496409515</v>
      </c>
      <c r="P48" s="59">
        <f>ROUND(($N48*(Table!$AE$10/Table!$AE$9)/(Table!$AC$12-Table!$AC$13)),2)</f>
        <v>17.690000000000001</v>
      </c>
      <c r="Q48" s="59">
        <f>'Raw Data'!C48</f>
        <v>0</v>
      </c>
      <c r="R48" s="59">
        <f>'Raw Data'!C48/'Raw Data'!I$30*100</f>
        <v>0</v>
      </c>
      <c r="S48" s="109">
        <f t="shared" si="7"/>
        <v>0</v>
      </c>
      <c r="T48" s="109">
        <f t="shared" si="8"/>
        <v>1</v>
      </c>
      <c r="U48" s="77">
        <f t="shared" si="9"/>
        <v>0</v>
      </c>
      <c r="V48" s="77">
        <f t="shared" si="10"/>
        <v>0</v>
      </c>
      <c r="W48" s="77">
        <f t="shared" si="11"/>
        <v>0</v>
      </c>
      <c r="X48" s="86">
        <f t="shared" si="12"/>
        <v>0</v>
      </c>
      <c r="AS48" s="118"/>
      <c r="AT48" s="118"/>
    </row>
    <row r="49" spans="1:46" ht="12.4" customHeight="1" x14ac:dyDescent="0.2">
      <c r="A49" s="59">
        <v>24.256324768066406</v>
      </c>
      <c r="B49" s="158">
        <v>0</v>
      </c>
      <c r="C49" s="158">
        <f t="shared" si="1"/>
        <v>1</v>
      </c>
      <c r="D49" s="60">
        <f t="shared" si="2"/>
        <v>0</v>
      </c>
      <c r="E49" s="58">
        <f>(2*Table!$AC$16*0.147)/A49</f>
        <v>3.7786056272576007</v>
      </c>
      <c r="F49" s="58">
        <f t="shared" si="3"/>
        <v>7.5572112545152015</v>
      </c>
      <c r="G49" s="59">
        <f>IF((('Raw Data'!C49)/('Raw Data'!C$136)*100)&lt;0,0,('Raw Data'!C49)/('Raw Data'!C$136)*100)</f>
        <v>0</v>
      </c>
      <c r="H49" s="59">
        <f t="shared" si="4"/>
        <v>0</v>
      </c>
      <c r="I49" s="99">
        <f t="shared" si="5"/>
        <v>3.9237751993238534E-2</v>
      </c>
      <c r="J49" s="58">
        <f>'Raw Data'!F49/I49</f>
        <v>0</v>
      </c>
      <c r="K49" s="74">
        <f t="shared" si="6"/>
        <v>6.4658387581436536E-2</v>
      </c>
      <c r="L49" s="59">
        <f>A49*Table!$AC$9/$AC$16</f>
        <v>5.4464535413652975</v>
      </c>
      <c r="M49" s="59">
        <f>A49*Table!$AD$9/$AC$16</f>
        <v>1.8673554998966733</v>
      </c>
      <c r="N49" s="59">
        <f>ABS(A49*Table!$AE$9/$AC$16)</f>
        <v>2.3583835636770338</v>
      </c>
      <c r="O49" s="59">
        <f>($L49*(Table!$AC$10/Table!$AC$9)/(Table!$AC$12-Table!$AC$14))</f>
        <v>11.682654528883093</v>
      </c>
      <c r="P49" s="59">
        <f>ROUND(($N49*(Table!$AE$10/Table!$AE$9)/(Table!$AC$12-Table!$AC$13)),2)</f>
        <v>19.36</v>
      </c>
      <c r="Q49" s="59">
        <f>'Raw Data'!C49</f>
        <v>0</v>
      </c>
      <c r="R49" s="59">
        <f>'Raw Data'!C49/'Raw Data'!I$30*100</f>
        <v>0</v>
      </c>
      <c r="S49" s="109">
        <f t="shared" si="7"/>
        <v>0</v>
      </c>
      <c r="T49" s="109">
        <f t="shared" si="8"/>
        <v>1</v>
      </c>
      <c r="U49" s="77">
        <f t="shared" si="9"/>
        <v>0</v>
      </c>
      <c r="V49" s="77">
        <f t="shared" si="10"/>
        <v>0</v>
      </c>
      <c r="W49" s="77">
        <f t="shared" si="11"/>
        <v>0</v>
      </c>
      <c r="X49" s="86">
        <f t="shared" si="12"/>
        <v>0</v>
      </c>
      <c r="AS49" s="118"/>
      <c r="AT49" s="118"/>
    </row>
    <row r="50" spans="1:46" ht="12.4" customHeight="1" x14ac:dyDescent="0.2">
      <c r="A50" s="59">
        <v>26.599403381347656</v>
      </c>
      <c r="B50" s="158">
        <v>0</v>
      </c>
      <c r="C50" s="158">
        <f t="shared" si="1"/>
        <v>1</v>
      </c>
      <c r="D50" s="60">
        <f t="shared" si="2"/>
        <v>0</v>
      </c>
      <c r="E50" s="58">
        <f>(2*Table!$AC$16*0.147)/A50</f>
        <v>3.4457571830154312</v>
      </c>
      <c r="F50" s="58">
        <f t="shared" si="3"/>
        <v>6.8915143660308624</v>
      </c>
      <c r="G50" s="59">
        <f>IF((('Raw Data'!C50)/('Raw Data'!C$136)*100)&lt;0,0,('Raw Data'!C50)/('Raw Data'!C$136)*100)</f>
        <v>0</v>
      </c>
      <c r="H50" s="59">
        <f t="shared" si="4"/>
        <v>0</v>
      </c>
      <c r="I50" s="99">
        <f t="shared" si="5"/>
        <v>4.0046896850376212E-2</v>
      </c>
      <c r="J50" s="58">
        <f>'Raw Data'!F50/I50</f>
        <v>0</v>
      </c>
      <c r="K50" s="74">
        <f t="shared" si="6"/>
        <v>7.0904168282343222E-2</v>
      </c>
      <c r="L50" s="59">
        <f>A50*Table!$AC$9/$AC$16</f>
        <v>5.9725624607100576</v>
      </c>
      <c r="M50" s="59">
        <f>A50*Table!$AD$9/$AC$16</f>
        <v>2.0477357008148767</v>
      </c>
      <c r="N50" s="59">
        <f>ABS(A50*Table!$AE$9/$AC$16)</f>
        <v>2.5861954083321042</v>
      </c>
      <c r="O50" s="59">
        <f>($L50*(Table!$AC$10/Table!$AC$9)/(Table!$AC$12-Table!$AC$14))</f>
        <v>12.811159289382363</v>
      </c>
      <c r="P50" s="59">
        <f>ROUND(($N50*(Table!$AE$10/Table!$AE$9)/(Table!$AC$12-Table!$AC$13)),2)</f>
        <v>21.23</v>
      </c>
      <c r="Q50" s="59">
        <f>'Raw Data'!C50</f>
        <v>0</v>
      </c>
      <c r="R50" s="59">
        <f>'Raw Data'!C50/'Raw Data'!I$30*100</f>
        <v>0</v>
      </c>
      <c r="S50" s="109">
        <f t="shared" si="7"/>
        <v>0</v>
      </c>
      <c r="T50" s="109">
        <f t="shared" si="8"/>
        <v>1</v>
      </c>
      <c r="U50" s="77">
        <f t="shared" si="9"/>
        <v>0</v>
      </c>
      <c r="V50" s="77">
        <f t="shared" si="10"/>
        <v>0</v>
      </c>
      <c r="W50" s="77">
        <f t="shared" si="11"/>
        <v>0</v>
      </c>
      <c r="X50" s="86">
        <f t="shared" si="12"/>
        <v>0</v>
      </c>
      <c r="AS50" s="118"/>
      <c r="AT50" s="118"/>
    </row>
    <row r="51" spans="1:46" ht="12.4" customHeight="1" x14ac:dyDescent="0.2">
      <c r="A51" s="59">
        <v>28.96766471862793</v>
      </c>
      <c r="B51" s="158">
        <v>0</v>
      </c>
      <c r="C51" s="158">
        <f t="shared" si="1"/>
        <v>1</v>
      </c>
      <c r="D51" s="60">
        <f t="shared" si="2"/>
        <v>0</v>
      </c>
      <c r="E51" s="58">
        <f>(2*Table!$AC$16*0.147)/A51</f>
        <v>3.1640481259182751</v>
      </c>
      <c r="F51" s="58">
        <f t="shared" si="3"/>
        <v>6.3280962518365502</v>
      </c>
      <c r="G51" s="59">
        <f>IF((('Raw Data'!C51)/('Raw Data'!C$136)*100)&lt;0,0,('Raw Data'!C51)/('Raw Data'!C$136)*100)</f>
        <v>0</v>
      </c>
      <c r="H51" s="59">
        <f t="shared" si="4"/>
        <v>0</v>
      </c>
      <c r="I51" s="99">
        <f t="shared" si="5"/>
        <v>3.7041589556993659E-2</v>
      </c>
      <c r="J51" s="58">
        <f>'Raw Data'!F51/I51</f>
        <v>0</v>
      </c>
      <c r="K51" s="74">
        <f t="shared" si="6"/>
        <v>7.7217076808435883E-2</v>
      </c>
      <c r="L51" s="59">
        <f>A51*Table!$AC$9/$AC$16</f>
        <v>6.5043258449260275</v>
      </c>
      <c r="M51" s="59">
        <f>A51*Table!$AD$9/$AC$16</f>
        <v>2.2300545754032095</v>
      </c>
      <c r="N51" s="59">
        <f>ABS(A51*Table!$AE$9/$AC$16)</f>
        <v>2.816455708098812</v>
      </c>
      <c r="O51" s="59">
        <f>($L51*(Table!$AC$10/Table!$AC$9)/(Table!$AC$12-Table!$AC$14))</f>
        <v>13.95179288915922</v>
      </c>
      <c r="P51" s="59">
        <f>ROUND(($N51*(Table!$AE$10/Table!$AE$9)/(Table!$AC$12-Table!$AC$13)),2)</f>
        <v>23.12</v>
      </c>
      <c r="Q51" s="59">
        <f>'Raw Data'!C51</f>
        <v>0</v>
      </c>
      <c r="R51" s="59">
        <f>'Raw Data'!C51/'Raw Data'!I$30*100</f>
        <v>0</v>
      </c>
      <c r="S51" s="109">
        <f t="shared" si="7"/>
        <v>0</v>
      </c>
      <c r="T51" s="109">
        <f t="shared" si="8"/>
        <v>1</v>
      </c>
      <c r="U51" s="77">
        <f t="shared" si="9"/>
        <v>0</v>
      </c>
      <c r="V51" s="77">
        <f t="shared" si="10"/>
        <v>0</v>
      </c>
      <c r="W51" s="77">
        <f t="shared" si="11"/>
        <v>0</v>
      </c>
      <c r="X51" s="86">
        <f t="shared" si="12"/>
        <v>0</v>
      </c>
      <c r="AS51" s="118"/>
      <c r="AT51" s="118"/>
    </row>
    <row r="52" spans="1:46" ht="12.4" customHeight="1" x14ac:dyDescent="0.2">
      <c r="A52" s="59">
        <v>29.812126159667969</v>
      </c>
      <c r="B52" s="158">
        <v>0</v>
      </c>
      <c r="C52" s="158">
        <f t="shared" si="1"/>
        <v>1</v>
      </c>
      <c r="D52" s="60">
        <f t="shared" si="2"/>
        <v>0</v>
      </c>
      <c r="E52" s="58">
        <f>(2*Table!$AC$16*0.147)/A52</f>
        <v>3.0744229638073035</v>
      </c>
      <c r="F52" s="58">
        <f t="shared" si="3"/>
        <v>6.148845927614607</v>
      </c>
      <c r="G52" s="59">
        <f>IF((('Raw Data'!C52)/('Raw Data'!C$136)*100)&lt;0,0,('Raw Data'!C52)/('Raw Data'!C$136)*100)</f>
        <v>0</v>
      </c>
      <c r="H52" s="59">
        <f t="shared" si="4"/>
        <v>0</v>
      </c>
      <c r="I52" s="99">
        <f t="shared" si="5"/>
        <v>1.2479465250393951E-2</v>
      </c>
      <c r="J52" s="58">
        <f>'Raw Data'!F52/I52</f>
        <v>0</v>
      </c>
      <c r="K52" s="74">
        <f t="shared" si="6"/>
        <v>7.946809858005352E-2</v>
      </c>
      <c r="L52" s="59">
        <f>A52*Table!$AC$9/$AC$16</f>
        <v>6.6939390715824416</v>
      </c>
      <c r="M52" s="59">
        <f>A52*Table!$AD$9/$AC$16</f>
        <v>2.2950648245425516</v>
      </c>
      <c r="N52" s="59">
        <f>ABS(A52*Table!$AE$9/$AC$16)</f>
        <v>2.8985606436878077</v>
      </c>
      <c r="O52" s="59">
        <f>($L52*(Table!$AC$10/Table!$AC$9)/(Table!$AC$12-Table!$AC$14))</f>
        <v>14.358513667058006</v>
      </c>
      <c r="P52" s="59">
        <f>ROUND(($N52*(Table!$AE$10/Table!$AE$9)/(Table!$AC$12-Table!$AC$13)),2)</f>
        <v>23.8</v>
      </c>
      <c r="Q52" s="59">
        <f>'Raw Data'!C52</f>
        <v>0</v>
      </c>
      <c r="R52" s="59">
        <f>'Raw Data'!C52/'Raw Data'!I$30*100</f>
        <v>0</v>
      </c>
      <c r="S52" s="109">
        <f t="shared" si="7"/>
        <v>0</v>
      </c>
      <c r="T52" s="109">
        <f t="shared" si="8"/>
        <v>1</v>
      </c>
      <c r="U52" s="77">
        <f t="shared" si="9"/>
        <v>0</v>
      </c>
      <c r="V52" s="77">
        <f t="shared" si="10"/>
        <v>0</v>
      </c>
      <c r="W52" s="77">
        <f t="shared" si="11"/>
        <v>0</v>
      </c>
      <c r="X52" s="86">
        <f t="shared" si="12"/>
        <v>0</v>
      </c>
      <c r="AS52" s="118"/>
      <c r="AT52" s="118"/>
    </row>
    <row r="53" spans="1:46" ht="12.4" customHeight="1" x14ac:dyDescent="0.2">
      <c r="A53" s="59">
        <v>32.570629119873047</v>
      </c>
      <c r="B53" s="158">
        <v>0</v>
      </c>
      <c r="C53" s="158">
        <f t="shared" si="1"/>
        <v>1</v>
      </c>
      <c r="D53" s="60">
        <f t="shared" si="2"/>
        <v>0</v>
      </c>
      <c r="E53" s="58">
        <f>(2*Table!$AC$16*0.147)/A53</f>
        <v>2.8140409854496813</v>
      </c>
      <c r="F53" s="58">
        <f t="shared" si="3"/>
        <v>5.6280819708993626</v>
      </c>
      <c r="G53" s="59">
        <f>IF((('Raw Data'!C53)/('Raw Data'!C$136)*100)&lt;0,0,('Raw Data'!C53)/('Raw Data'!C$136)*100)</f>
        <v>0</v>
      </c>
      <c r="H53" s="59">
        <f t="shared" si="4"/>
        <v>0</v>
      </c>
      <c r="I53" s="99">
        <f t="shared" si="5"/>
        <v>3.8433196866237029E-2</v>
      </c>
      <c r="J53" s="58">
        <f>'Raw Data'!F53/I53</f>
        <v>0</v>
      </c>
      <c r="K53" s="74">
        <f t="shared" si="6"/>
        <v>8.6821246892954257E-2</v>
      </c>
      <c r="L53" s="59">
        <f>A53*Table!$AC$9/$AC$16</f>
        <v>7.3133263184193931</v>
      </c>
      <c r="M53" s="59">
        <f>A53*Table!$AD$9/$AC$16</f>
        <v>2.5074261663152204</v>
      </c>
      <c r="N53" s="59">
        <f>ABS(A53*Table!$AE$9/$AC$16)</f>
        <v>3.1667631889582588</v>
      </c>
      <c r="O53" s="59">
        <f>($L53*(Table!$AC$10/Table!$AC$9)/(Table!$AC$12-Table!$AC$14))</f>
        <v>15.68710064011024</v>
      </c>
      <c r="P53" s="59">
        <f>ROUND(($N53*(Table!$AE$10/Table!$AE$9)/(Table!$AC$12-Table!$AC$13)),2)</f>
        <v>26</v>
      </c>
      <c r="Q53" s="59">
        <f>'Raw Data'!C53</f>
        <v>0</v>
      </c>
      <c r="R53" s="59">
        <f>'Raw Data'!C53/'Raw Data'!I$30*100</f>
        <v>0</v>
      </c>
      <c r="S53" s="109">
        <f t="shared" si="7"/>
        <v>0</v>
      </c>
      <c r="T53" s="109">
        <f t="shared" si="8"/>
        <v>1</v>
      </c>
      <c r="U53" s="77">
        <f t="shared" si="9"/>
        <v>0</v>
      </c>
      <c r="V53" s="77">
        <f t="shared" si="10"/>
        <v>0</v>
      </c>
      <c r="W53" s="77">
        <f t="shared" si="11"/>
        <v>0</v>
      </c>
      <c r="X53" s="86">
        <f t="shared" si="12"/>
        <v>0</v>
      </c>
      <c r="Z53" s="158"/>
      <c r="AS53" s="118"/>
      <c r="AT53" s="118"/>
    </row>
    <row r="54" spans="1:46" ht="12.4" customHeight="1" x14ac:dyDescent="0.2">
      <c r="A54" s="59">
        <v>36.388671875</v>
      </c>
      <c r="B54" s="158">
        <v>0</v>
      </c>
      <c r="C54" s="158">
        <f t="shared" si="1"/>
        <v>1</v>
      </c>
      <c r="D54" s="60">
        <f t="shared" si="2"/>
        <v>0</v>
      </c>
      <c r="E54" s="58">
        <f>(2*Table!$AC$16*0.147)/A54</f>
        <v>2.5187807232990318</v>
      </c>
      <c r="F54" s="58">
        <f t="shared" si="3"/>
        <v>5.0375614465980636</v>
      </c>
      <c r="G54" s="59">
        <f>IF((('Raw Data'!C54)/('Raw Data'!C$136)*100)&lt;0,0,('Raw Data'!C54)/('Raw Data'!C$136)*100)</f>
        <v>0</v>
      </c>
      <c r="H54" s="59">
        <f t="shared" si="4"/>
        <v>0</v>
      </c>
      <c r="I54" s="99">
        <f t="shared" si="5"/>
        <v>4.814005757507489E-2</v>
      </c>
      <c r="J54" s="58">
        <f>'Raw Data'!F54/I54</f>
        <v>0</v>
      </c>
      <c r="K54" s="74">
        <f t="shared" si="6"/>
        <v>9.699873629516155E-2</v>
      </c>
      <c r="L54" s="59">
        <f>A54*Table!$AC$9/$AC$16</f>
        <v>8.1706199390969072</v>
      </c>
      <c r="M54" s="59">
        <f>A54*Table!$AD$9/$AC$16</f>
        <v>2.8013554076903682</v>
      </c>
      <c r="N54" s="59">
        <f>ABS(A54*Table!$AE$9/$AC$16)</f>
        <v>3.5379822159627925</v>
      </c>
      <c r="O54" s="59">
        <f>($L54*(Table!$AC$10/Table!$AC$9)/(Table!$AC$12-Table!$AC$14))</f>
        <v>17.525997295360163</v>
      </c>
      <c r="P54" s="59">
        <f>ROUND(($N54*(Table!$AE$10/Table!$AE$9)/(Table!$AC$12-Table!$AC$13)),2)</f>
        <v>29.05</v>
      </c>
      <c r="Q54" s="59">
        <f>'Raw Data'!C54</f>
        <v>0</v>
      </c>
      <c r="R54" s="59">
        <f>'Raw Data'!C54/'Raw Data'!I$30*100</f>
        <v>0</v>
      </c>
      <c r="S54" s="109">
        <f t="shared" si="7"/>
        <v>0</v>
      </c>
      <c r="T54" s="109">
        <f t="shared" si="8"/>
        <v>1</v>
      </c>
      <c r="U54" s="77">
        <f t="shared" si="9"/>
        <v>0</v>
      </c>
      <c r="V54" s="77">
        <f t="shared" si="10"/>
        <v>0</v>
      </c>
      <c r="W54" s="77">
        <f t="shared" si="11"/>
        <v>0</v>
      </c>
      <c r="X54" s="86">
        <f t="shared" si="12"/>
        <v>0</v>
      </c>
      <c r="Z54" s="158"/>
      <c r="AS54" s="118"/>
      <c r="AT54" s="118"/>
    </row>
    <row r="55" spans="1:46" ht="12.4" customHeight="1" x14ac:dyDescent="0.2">
      <c r="A55" s="59">
        <v>40.323150634765625</v>
      </c>
      <c r="B55" s="158">
        <v>0</v>
      </c>
      <c r="C55" s="158">
        <f t="shared" si="1"/>
        <v>1</v>
      </c>
      <c r="D55" s="60">
        <f t="shared" si="2"/>
        <v>0</v>
      </c>
      <c r="E55" s="58">
        <f>(2*Table!$AC$16*0.147)/A55</f>
        <v>2.273013983837386</v>
      </c>
      <c r="F55" s="58">
        <f t="shared" si="3"/>
        <v>4.5460279676747719</v>
      </c>
      <c r="G55" s="59">
        <f>IF((('Raw Data'!C55)/('Raw Data'!C$136)*100)&lt;0,0,('Raw Data'!C55)/('Raw Data'!C$136)*100)</f>
        <v>0</v>
      </c>
      <c r="H55" s="59">
        <f t="shared" si="4"/>
        <v>0</v>
      </c>
      <c r="I55" s="99">
        <f t="shared" si="5"/>
        <v>4.458825334404215E-2</v>
      </c>
      <c r="J55" s="58">
        <f>'Raw Data'!F55/I55</f>
        <v>0</v>
      </c>
      <c r="K55" s="74">
        <f t="shared" si="6"/>
        <v>0.10748660100724568</v>
      </c>
      <c r="L55" s="59">
        <f>A55*Table!$AC$9/$AC$16</f>
        <v>9.0540578044557751</v>
      </c>
      <c r="M55" s="59">
        <f>A55*Table!$AD$9/$AC$16</f>
        <v>3.1042483900991229</v>
      </c>
      <c r="N55" s="59">
        <f>ABS(A55*Table!$AE$9/$AC$16)</f>
        <v>3.9205220329957307</v>
      </c>
      <c r="O55" s="59">
        <f>($L55*(Table!$AC$10/Table!$AC$9)/(Table!$AC$12-Table!$AC$14))</f>
        <v>19.420973411531051</v>
      </c>
      <c r="P55" s="59">
        <f>ROUND(($N55*(Table!$AE$10/Table!$AE$9)/(Table!$AC$12-Table!$AC$13)),2)</f>
        <v>32.19</v>
      </c>
      <c r="Q55" s="59">
        <f>'Raw Data'!C55</f>
        <v>0</v>
      </c>
      <c r="R55" s="59">
        <f>'Raw Data'!C55/'Raw Data'!I$30*100</f>
        <v>0</v>
      </c>
      <c r="S55" s="109">
        <f t="shared" si="7"/>
        <v>0</v>
      </c>
      <c r="T55" s="109">
        <f t="shared" si="8"/>
        <v>1</v>
      </c>
      <c r="U55" s="77">
        <f t="shared" si="9"/>
        <v>0</v>
      </c>
      <c r="V55" s="77">
        <f t="shared" si="10"/>
        <v>0</v>
      </c>
      <c r="W55" s="77">
        <f t="shared" si="11"/>
        <v>0</v>
      </c>
      <c r="X55" s="86">
        <f t="shared" si="12"/>
        <v>0</v>
      </c>
      <c r="Z55" s="158"/>
      <c r="AS55" s="118"/>
      <c r="AT55" s="118"/>
    </row>
    <row r="56" spans="1:46" ht="12.4" customHeight="1" x14ac:dyDescent="0.2">
      <c r="A56" s="59">
        <v>44.258155822753906</v>
      </c>
      <c r="B56" s="158">
        <v>0</v>
      </c>
      <c r="C56" s="158">
        <f t="shared" si="1"/>
        <v>1</v>
      </c>
      <c r="D56" s="60">
        <f t="shared" si="2"/>
        <v>0</v>
      </c>
      <c r="E56" s="58">
        <f>(2*Table!$AC$16*0.147)/A56</f>
        <v>2.0709196657959734</v>
      </c>
      <c r="F56" s="58">
        <f t="shared" si="3"/>
        <v>4.1418393315919468</v>
      </c>
      <c r="G56" s="59">
        <f>IF((('Raw Data'!C56)/('Raw Data'!C$136)*100)&lt;0,0,('Raw Data'!C56)/('Raw Data'!C$136)*100)</f>
        <v>0</v>
      </c>
      <c r="H56" s="59">
        <f t="shared" si="4"/>
        <v>0</v>
      </c>
      <c r="I56" s="99">
        <f t="shared" si="5"/>
        <v>4.0438855301787369E-2</v>
      </c>
      <c r="J56" s="58">
        <f>'Raw Data'!F56/I56</f>
        <v>0</v>
      </c>
      <c r="K56" s="74">
        <f t="shared" si="6"/>
        <v>0.11797586898220573</v>
      </c>
      <c r="L56" s="59">
        <f>A56*Table!$AC$9/$AC$16</f>
        <v>9.9376138726703935</v>
      </c>
      <c r="M56" s="59">
        <f>A56*Table!$AD$9/$AC$16</f>
        <v>3.4071818992012775</v>
      </c>
      <c r="N56" s="59">
        <f>ABS(A56*Table!$AE$9/$AC$16)</f>
        <v>4.3031130333666079</v>
      </c>
      <c r="O56" s="59">
        <f>($L56*(Table!$AC$10/Table!$AC$9)/(Table!$AC$12-Table!$AC$14))</f>
        <v>21.31620307308107</v>
      </c>
      <c r="P56" s="59">
        <f>ROUND(($N56*(Table!$AE$10/Table!$AE$9)/(Table!$AC$12-Table!$AC$13)),2)</f>
        <v>35.33</v>
      </c>
      <c r="Q56" s="59">
        <f>'Raw Data'!C56</f>
        <v>0</v>
      </c>
      <c r="R56" s="59">
        <f>'Raw Data'!C56/'Raw Data'!I$30*100</f>
        <v>0</v>
      </c>
      <c r="S56" s="109">
        <f t="shared" si="7"/>
        <v>0</v>
      </c>
      <c r="T56" s="109">
        <f t="shared" si="8"/>
        <v>1</v>
      </c>
      <c r="U56" s="77">
        <f t="shared" si="9"/>
        <v>0</v>
      </c>
      <c r="V56" s="77">
        <f t="shared" si="10"/>
        <v>0</v>
      </c>
      <c r="W56" s="77">
        <f t="shared" si="11"/>
        <v>0</v>
      </c>
      <c r="X56" s="86">
        <f t="shared" si="12"/>
        <v>0</v>
      </c>
      <c r="Z56" s="158"/>
      <c r="AS56" s="118"/>
      <c r="AT56" s="118"/>
    </row>
    <row r="57" spans="1:46" ht="12.4" customHeight="1" x14ac:dyDescent="0.2">
      <c r="A57" s="59">
        <v>49.374057769775391</v>
      </c>
      <c r="B57" s="158">
        <v>6.705272782688205E-4</v>
      </c>
      <c r="C57" s="158">
        <f t="shared" si="1"/>
        <v>0.99932947272173123</v>
      </c>
      <c r="D57" s="60">
        <f t="shared" si="2"/>
        <v>6.705272782688205E-4</v>
      </c>
      <c r="E57" s="58">
        <f>(2*Table!$AC$16*0.147)/A57</f>
        <v>1.8563409491798104</v>
      </c>
      <c r="F57" s="58">
        <f t="shared" si="3"/>
        <v>3.7126818983596208</v>
      </c>
      <c r="G57" s="59">
        <f>IF((('Raw Data'!C57)/('Raw Data'!C$136)*100)&lt;0,0,('Raw Data'!C57)/('Raw Data'!C$136)*100)</f>
        <v>6.7052727826881861E-2</v>
      </c>
      <c r="H57" s="59">
        <f t="shared" si="4"/>
        <v>6.7052727826881861E-2</v>
      </c>
      <c r="I57" s="99">
        <f t="shared" si="5"/>
        <v>4.7505507344381748E-2</v>
      </c>
      <c r="J57" s="58">
        <f>'Raw Data'!F57/I57</f>
        <v>1.4114727233791318E-2</v>
      </c>
      <c r="K57" s="74">
        <f t="shared" si="6"/>
        <v>0.13161297081366796</v>
      </c>
      <c r="L57" s="59">
        <f>A57*Table!$AC$9/$AC$16</f>
        <v>11.086325499145451</v>
      </c>
      <c r="M57" s="59">
        <f>A57*Table!$AD$9/$AC$16</f>
        <v>3.8010258854212973</v>
      </c>
      <c r="N57" s="59">
        <f>ABS(A57*Table!$AE$9/$AC$16)</f>
        <v>4.8005197584415784</v>
      </c>
      <c r="O57" s="59">
        <f>($L57*(Table!$AC$10/Table!$AC$9)/(Table!$AC$12-Table!$AC$14))</f>
        <v>23.780191975858973</v>
      </c>
      <c r="P57" s="59">
        <f>ROUND(($N57*(Table!$AE$10/Table!$AE$9)/(Table!$AC$12-Table!$AC$13)),2)</f>
        <v>39.409999999999997</v>
      </c>
      <c r="Q57" s="59">
        <f>'Raw Data'!C57</f>
        <v>1.0999999999999968E-3</v>
      </c>
      <c r="R57" s="59">
        <f>'Raw Data'!C57/'Raw Data'!I$30*100</f>
        <v>1.0005490281811977E-2</v>
      </c>
      <c r="S57" s="109">
        <f t="shared" si="7"/>
        <v>6.6626287098728075E-3</v>
      </c>
      <c r="T57" s="109">
        <f t="shared" si="8"/>
        <v>0.99402323738720988</v>
      </c>
      <c r="U57" s="77">
        <f t="shared" si="9"/>
        <v>2.0264670828689505E-4</v>
      </c>
      <c r="V57" s="77">
        <f t="shared" si="10"/>
        <v>2.2681380320005033E-4</v>
      </c>
      <c r="W57" s="77">
        <f t="shared" si="11"/>
        <v>2.8699287489112515E-3</v>
      </c>
      <c r="X57" s="86">
        <f t="shared" si="12"/>
        <v>2.8699287489112515E-3</v>
      </c>
      <c r="Z57" s="158"/>
      <c r="AS57" s="118"/>
      <c r="AT57" s="118"/>
    </row>
    <row r="58" spans="1:46" ht="12.4" customHeight="1" x14ac:dyDescent="0.2">
      <c r="A58" s="59">
        <v>52.047706604003906</v>
      </c>
      <c r="B58" s="158">
        <v>1.4629686071319717E-3</v>
      </c>
      <c r="C58" s="158">
        <f t="shared" si="1"/>
        <v>0.99853703139286798</v>
      </c>
      <c r="D58" s="60">
        <f t="shared" si="2"/>
        <v>7.9244132886315119E-4</v>
      </c>
      <c r="E58" s="58">
        <f>(2*Table!$AC$16*0.147)/A58</f>
        <v>1.7609822073918782</v>
      </c>
      <c r="F58" s="58">
        <f t="shared" si="3"/>
        <v>3.5219644147837563</v>
      </c>
      <c r="G58" s="59">
        <f>IF((('Raw Data'!C58)/('Raw Data'!C$136)*100)&lt;0,0,('Raw Data'!C58)/('Raw Data'!C$136)*100)</f>
        <v>0.14629686071319714</v>
      </c>
      <c r="H58" s="59">
        <f t="shared" si="4"/>
        <v>7.924413288631528E-2</v>
      </c>
      <c r="I58" s="99">
        <f t="shared" si="5"/>
        <v>2.2902776949641601E-2</v>
      </c>
      <c r="J58" s="58">
        <f>'Raw Data'!F58/I58</f>
        <v>3.4600229072900855E-2</v>
      </c>
      <c r="K58" s="74">
        <f t="shared" si="6"/>
        <v>0.13873992942067809</v>
      </c>
      <c r="L58" s="59">
        <f>A58*Table!$AC$9/$AC$16</f>
        <v>11.686659816103555</v>
      </c>
      <c r="M58" s="59">
        <f>A58*Table!$AD$9/$AC$16</f>
        <v>4.0068547940926473</v>
      </c>
      <c r="N58" s="59">
        <f>ABS(A58*Table!$AE$9/$AC$16)</f>
        <v>5.0604721430662272</v>
      </c>
      <c r="O58" s="59">
        <f>($L58*(Table!$AC$10/Table!$AC$9)/(Table!$AC$12-Table!$AC$14))</f>
        <v>25.067910373452502</v>
      </c>
      <c r="P58" s="59">
        <f>ROUND(($N58*(Table!$AE$10/Table!$AE$9)/(Table!$AC$12-Table!$AC$13)),2)</f>
        <v>41.55</v>
      </c>
      <c r="Q58" s="59">
        <f>'Raw Data'!C58</f>
        <v>2.3999999999999994E-3</v>
      </c>
      <c r="R58" s="59">
        <f>'Raw Data'!C58/'Raw Data'!I$30*100</f>
        <v>2.1830160614862554E-2</v>
      </c>
      <c r="S58" s="109">
        <f t="shared" si="7"/>
        <v>7.8740157480314977E-3</v>
      </c>
      <c r="T58" s="109">
        <f t="shared" si="8"/>
        <v>0.98766683883651518</v>
      </c>
      <c r="U58" s="77">
        <f t="shared" si="9"/>
        <v>4.1942598510542656E-4</v>
      </c>
      <c r="V58" s="77">
        <f t="shared" si="10"/>
        <v>7.760381365982266E-4</v>
      </c>
      <c r="W58" s="77">
        <f t="shared" si="11"/>
        <v>3.0522227704239883E-3</v>
      </c>
      <c r="X58" s="86">
        <f t="shared" si="12"/>
        <v>5.9221515193352402E-3</v>
      </c>
      <c r="Z58" s="158"/>
      <c r="AS58" s="118"/>
      <c r="AT58" s="118"/>
    </row>
    <row r="59" spans="1:46" ht="12.4" customHeight="1" x14ac:dyDescent="0.2">
      <c r="A59" s="59">
        <v>58.846782684326172</v>
      </c>
      <c r="B59" s="158">
        <v>3.3526363913441021E-3</v>
      </c>
      <c r="C59" s="158">
        <f t="shared" si="1"/>
        <v>0.99664736360865591</v>
      </c>
      <c r="D59" s="60">
        <f t="shared" si="2"/>
        <v>1.8896677842121304E-3</v>
      </c>
      <c r="E59" s="58">
        <f>(2*Table!$AC$16*0.147)/A59</f>
        <v>1.5575207527805246</v>
      </c>
      <c r="F59" s="58">
        <f t="shared" si="3"/>
        <v>3.1150415055610492</v>
      </c>
      <c r="G59" s="59">
        <f>IF((('Raw Data'!C59)/('Raw Data'!C$136)*100)&lt;0,0,('Raw Data'!C59)/('Raw Data'!C$136)*100)</f>
        <v>0.3352636391344101</v>
      </c>
      <c r="H59" s="59">
        <f t="shared" si="4"/>
        <v>0.18896677842121296</v>
      </c>
      <c r="I59" s="99">
        <f t="shared" si="5"/>
        <v>5.3321125952096593E-2</v>
      </c>
      <c r="J59" s="58">
        <f>'Raw Data'!F59/I59</f>
        <v>3.5439382617497552E-2</v>
      </c>
      <c r="K59" s="74">
        <f t="shared" si="6"/>
        <v>0.15686375075802719</v>
      </c>
      <c r="L59" s="59">
        <f>A59*Table!$AC$9/$AC$16</f>
        <v>13.213307086444964</v>
      </c>
      <c r="M59" s="59">
        <f>A59*Table!$AD$9/$AC$16</f>
        <v>4.5302767153525592</v>
      </c>
      <c r="N59" s="59">
        <f>ABS(A59*Table!$AE$9/$AC$16)</f>
        <v>5.7215298024331425</v>
      </c>
      <c r="O59" s="59">
        <f>($L59*(Table!$AC$10/Table!$AC$9)/(Table!$AC$12-Table!$AC$14))</f>
        <v>28.342572042996494</v>
      </c>
      <c r="P59" s="59">
        <f>ROUND(($N59*(Table!$AE$10/Table!$AE$9)/(Table!$AC$12-Table!$AC$13)),2)</f>
        <v>46.97</v>
      </c>
      <c r="Q59" s="59">
        <f>'Raw Data'!C59</f>
        <v>5.4999999999999979E-3</v>
      </c>
      <c r="R59" s="59">
        <f>'Raw Data'!C59/'Raw Data'!I$30*100</f>
        <v>5.0027451409060016E-2</v>
      </c>
      <c r="S59" s="109">
        <f t="shared" si="7"/>
        <v>1.8776499091459731E-2</v>
      </c>
      <c r="T59" s="109">
        <f t="shared" si="8"/>
        <v>0.97580950057070215</v>
      </c>
      <c r="U59" s="77">
        <f t="shared" si="9"/>
        <v>8.5013061253363671E-4</v>
      </c>
      <c r="V59" s="77">
        <f t="shared" si="10"/>
        <v>2.5629087180731114E-3</v>
      </c>
      <c r="W59" s="77">
        <f t="shared" si="11"/>
        <v>5.6936703327984863E-3</v>
      </c>
      <c r="X59" s="86">
        <f t="shared" si="12"/>
        <v>1.1615821852133727E-2</v>
      </c>
      <c r="Z59" s="158"/>
      <c r="AS59" s="118"/>
      <c r="AT59" s="118"/>
    </row>
    <row r="60" spans="1:46" ht="12.4" customHeight="1" x14ac:dyDescent="0.2">
      <c r="A60" s="59">
        <v>63.858707427978516</v>
      </c>
      <c r="B60" s="158">
        <v>6.5833587320938735E-3</v>
      </c>
      <c r="C60" s="158">
        <f t="shared" si="1"/>
        <v>0.99341664126790608</v>
      </c>
      <c r="D60" s="60">
        <f t="shared" si="2"/>
        <v>3.2307223407497714E-3</v>
      </c>
      <c r="E60" s="58">
        <f>(2*Table!$AC$16*0.147)/A60</f>
        <v>1.4352793684177618</v>
      </c>
      <c r="F60" s="58">
        <f t="shared" si="3"/>
        <v>2.8705587368355236</v>
      </c>
      <c r="G60" s="59">
        <f>IF((('Raw Data'!C60)/('Raw Data'!C$136)*100)&lt;0,0,('Raw Data'!C60)/('Raw Data'!C$136)*100)</f>
        <v>0.65833587320938713</v>
      </c>
      <c r="H60" s="59">
        <f t="shared" si="4"/>
        <v>0.32307223407497704</v>
      </c>
      <c r="I60" s="99">
        <f t="shared" si="5"/>
        <v>3.5497399930758622E-2</v>
      </c>
      <c r="J60" s="58">
        <f>'Raw Data'!F60/I60</f>
        <v>9.1012929032876527E-2</v>
      </c>
      <c r="K60" s="74">
        <f t="shared" si="6"/>
        <v>0.17022368783434369</v>
      </c>
      <c r="L60" s="59">
        <f>A60*Table!$AC$9/$AC$16</f>
        <v>14.338671935824726</v>
      </c>
      <c r="M60" s="59">
        <f>A60*Table!$AD$9/$AC$16</f>
        <v>4.9161160922827634</v>
      </c>
      <c r="N60" s="59">
        <f>ABS(A60*Table!$AE$9/$AC$16)</f>
        <v>6.2088270764776041</v>
      </c>
      <c r="O60" s="59">
        <f>($L60*(Table!$AC$10/Table!$AC$9)/(Table!$AC$12-Table!$AC$14))</f>
        <v>30.756482058826101</v>
      </c>
      <c r="P60" s="59">
        <f>ROUND(($N60*(Table!$AE$10/Table!$AE$9)/(Table!$AC$12-Table!$AC$13)),2)</f>
        <v>50.98</v>
      </c>
      <c r="Q60" s="59">
        <f>'Raw Data'!C60</f>
        <v>1.0799999999999997E-2</v>
      </c>
      <c r="R60" s="59">
        <f>'Raw Data'!C60/'Raw Data'!I$30*100</f>
        <v>9.8235722766881486E-2</v>
      </c>
      <c r="S60" s="109">
        <f t="shared" si="7"/>
        <v>3.2101756511205344E-2</v>
      </c>
      <c r="T60" s="109">
        <f t="shared" si="8"/>
        <v>0.95859451807335527</v>
      </c>
      <c r="U60" s="77">
        <f t="shared" si="9"/>
        <v>1.5383293324199249E-3</v>
      </c>
      <c r="V60" s="77">
        <f t="shared" si="10"/>
        <v>6.9867193388289308E-3</v>
      </c>
      <c r="W60" s="77">
        <f t="shared" si="11"/>
        <v>8.2663101049743788E-3</v>
      </c>
      <c r="X60" s="86">
        <f t="shared" si="12"/>
        <v>1.9882131957108105E-2</v>
      </c>
      <c r="Z60" s="158"/>
      <c r="AS60" s="118"/>
      <c r="AT60" s="118"/>
    </row>
    <row r="61" spans="1:46" ht="12.4" customHeight="1" x14ac:dyDescent="0.2">
      <c r="A61" s="59">
        <v>70.839073181152344</v>
      </c>
      <c r="B61" s="158">
        <v>1.1825662907650107E-2</v>
      </c>
      <c r="C61" s="158">
        <f t="shared" si="1"/>
        <v>0.98817433709234992</v>
      </c>
      <c r="D61" s="60">
        <f t="shared" si="2"/>
        <v>5.2423041755562333E-3</v>
      </c>
      <c r="E61" s="58">
        <f>(2*Table!$AC$16*0.147)/A61</f>
        <v>1.2938493002416873</v>
      </c>
      <c r="F61" s="58">
        <f t="shared" si="3"/>
        <v>2.5876986004833746</v>
      </c>
      <c r="G61" s="59">
        <f>IF((('Raw Data'!C61)/('Raw Data'!C$136)*100)&lt;0,0,('Raw Data'!C61)/('Raw Data'!C$136)*100)</f>
        <v>1.1825662907650101</v>
      </c>
      <c r="H61" s="59">
        <f t="shared" si="4"/>
        <v>0.52423041755562294</v>
      </c>
      <c r="I61" s="99">
        <f t="shared" si="5"/>
        <v>4.5052746805006233E-2</v>
      </c>
      <c r="J61" s="58">
        <f>'Raw Data'!F61/I61</f>
        <v>0.11635925769954848</v>
      </c>
      <c r="K61" s="74">
        <f t="shared" si="6"/>
        <v>0.18883076036674523</v>
      </c>
      <c r="L61" s="59">
        <f>A61*Table!$AC$9/$AC$16</f>
        <v>15.906025528750307</v>
      </c>
      <c r="M61" s="59">
        <f>A61*Table!$AD$9/$AC$16</f>
        <v>5.4534944670001053</v>
      </c>
      <c r="N61" s="59">
        <f>ABS(A61*Table!$AE$9/$AC$16)</f>
        <v>6.8875110905707873</v>
      </c>
      <c r="O61" s="59">
        <f>($L61*(Table!$AC$10/Table!$AC$9)/(Table!$AC$12-Table!$AC$14))</f>
        <v>34.118458877628292</v>
      </c>
      <c r="P61" s="59">
        <f>ROUND(($N61*(Table!$AE$10/Table!$AE$9)/(Table!$AC$12-Table!$AC$13)),2)</f>
        <v>56.55</v>
      </c>
      <c r="Q61" s="59">
        <f>'Raw Data'!C61</f>
        <v>1.9399999999999994E-2</v>
      </c>
      <c r="R61" s="59">
        <f>'Raw Data'!C61/'Raw Data'!I$30*100</f>
        <v>0.17646046497013895</v>
      </c>
      <c r="S61" s="109">
        <f t="shared" si="7"/>
        <v>5.2089642640823774E-2</v>
      </c>
      <c r="T61" s="109">
        <f t="shared" si="8"/>
        <v>0.93589463221068259</v>
      </c>
      <c r="U61" s="77">
        <f t="shared" si="9"/>
        <v>2.4910047103367319E-3</v>
      </c>
      <c r="V61" s="77">
        <f t="shared" si="10"/>
        <v>1.5784915364732387E-2</v>
      </c>
      <c r="W61" s="77">
        <f t="shared" si="11"/>
        <v>1.0900057314452439E-2</v>
      </c>
      <c r="X61" s="86">
        <f t="shared" si="12"/>
        <v>3.0782189271560546E-2</v>
      </c>
      <c r="Z61" s="158"/>
      <c r="AS61" s="118"/>
      <c r="AT61" s="118"/>
    </row>
    <row r="62" spans="1:46" ht="12.4" customHeight="1" x14ac:dyDescent="0.2">
      <c r="A62" s="59">
        <v>75.749984741210937</v>
      </c>
      <c r="B62" s="158">
        <v>2.3773239865894542E-2</v>
      </c>
      <c r="C62" s="158">
        <f t="shared" si="1"/>
        <v>0.97622676013410548</v>
      </c>
      <c r="D62" s="60">
        <f t="shared" si="2"/>
        <v>1.1947576958244435E-2</v>
      </c>
      <c r="E62" s="58">
        <f>(2*Table!$AC$16*0.147)/A62</f>
        <v>1.2099683660442997</v>
      </c>
      <c r="F62" s="58">
        <f t="shared" si="3"/>
        <v>2.4199367320885994</v>
      </c>
      <c r="G62" s="59">
        <f>IF((('Raw Data'!C62)/('Raw Data'!C$136)*100)&lt;0,0,('Raw Data'!C62)/('Raw Data'!C$136)*100)</f>
        <v>2.3773239865894542</v>
      </c>
      <c r="H62" s="59">
        <f t="shared" si="4"/>
        <v>1.1947576958244441</v>
      </c>
      <c r="I62" s="99">
        <f t="shared" si="5"/>
        <v>2.9109679202825631E-2</v>
      </c>
      <c r="J62" s="58">
        <f>'Raw Data'!F62/I62</f>
        <v>0.41043313720491664</v>
      </c>
      <c r="K62" s="74">
        <f t="shared" si="6"/>
        <v>0.20192143366802204</v>
      </c>
      <c r="L62" s="59">
        <f>A62*Table!$AC$9/$AC$16</f>
        <v>17.008709134505189</v>
      </c>
      <c r="M62" s="59">
        <f>A62*Table!$AD$9/$AC$16</f>
        <v>5.8315574175446363</v>
      </c>
      <c r="N62" s="59">
        <f>ABS(A62*Table!$AE$9/$AC$16)</f>
        <v>7.364987098030964</v>
      </c>
      <c r="O62" s="59">
        <f>($L62*(Table!$AC$10/Table!$AC$9)/(Table!$AC$12-Table!$AC$14))</f>
        <v>36.483717577231211</v>
      </c>
      <c r="P62" s="59">
        <f>ROUND(($N62*(Table!$AE$10/Table!$AE$9)/(Table!$AC$12-Table!$AC$13)),2)</f>
        <v>60.47</v>
      </c>
      <c r="Q62" s="59">
        <f>'Raw Data'!C62</f>
        <v>3.9E-2</v>
      </c>
      <c r="R62" s="59">
        <f>'Raw Data'!C62/'Raw Data'!I$30*100</f>
        <v>0.35474010999151662</v>
      </c>
      <c r="S62" s="109">
        <f t="shared" si="7"/>
        <v>0.11871592973955182</v>
      </c>
      <c r="T62" s="109">
        <f t="shared" si="8"/>
        <v>0.89065053412529571</v>
      </c>
      <c r="U62" s="77">
        <f t="shared" si="9"/>
        <v>4.6830386989969146E-3</v>
      </c>
      <c r="V62" s="77">
        <f t="shared" si="10"/>
        <v>4.5902391769421486E-2</v>
      </c>
      <c r="W62" s="77">
        <f t="shared" si="11"/>
        <v>2.1725363081334863E-2</v>
      </c>
      <c r="X62" s="86">
        <f t="shared" si="12"/>
        <v>5.2507552352895406E-2</v>
      </c>
      <c r="Z62" s="158"/>
      <c r="AS62" s="118"/>
      <c r="AT62" s="118"/>
    </row>
    <row r="63" spans="1:46" x14ac:dyDescent="0.2">
      <c r="A63" s="59">
        <v>82.688125610351563</v>
      </c>
      <c r="B63" s="158">
        <v>5.6446205425175248E-2</v>
      </c>
      <c r="C63" s="158">
        <f t="shared" si="1"/>
        <v>0.9435537945748248</v>
      </c>
      <c r="D63" s="60">
        <f t="shared" si="2"/>
        <v>3.2672965559280703E-2</v>
      </c>
      <c r="E63" s="58">
        <f>(2*Table!$AC$16*0.147)/A63</f>
        <v>1.1084431360447904</v>
      </c>
      <c r="F63" s="58">
        <f t="shared" si="3"/>
        <v>2.2168862720895808</v>
      </c>
      <c r="G63" s="59">
        <f>IF((('Raw Data'!C63)/('Raw Data'!C$136)*100)&lt;0,0,('Raw Data'!C63)/('Raw Data'!C$136)*100)</f>
        <v>5.6446205425175258</v>
      </c>
      <c r="H63" s="59">
        <f t="shared" si="4"/>
        <v>3.2672965559280716</v>
      </c>
      <c r="I63" s="99">
        <f t="shared" si="5"/>
        <v>3.8060597682281733E-2</v>
      </c>
      <c r="J63" s="58">
        <f>'Raw Data'!F63/I63</f>
        <v>0.85844594013012288</v>
      </c>
      <c r="K63" s="74">
        <f t="shared" si="6"/>
        <v>0.22041595028177119</v>
      </c>
      <c r="L63" s="59">
        <f>A63*Table!$AC$9/$AC$16</f>
        <v>18.566581659240292</v>
      </c>
      <c r="M63" s="59">
        <f>A63*Table!$AD$9/$AC$16</f>
        <v>6.3656851403109576</v>
      </c>
      <c r="N63" s="59">
        <f>ABS(A63*Table!$AE$9/$AC$16)</f>
        <v>8.0395656891701641</v>
      </c>
      <c r="O63" s="59">
        <f>($L63*(Table!$AC$10/Table!$AC$9)/(Table!$AC$12-Table!$AC$14))</f>
        <v>39.825357484427919</v>
      </c>
      <c r="P63" s="59">
        <f>ROUND(($N63*(Table!$AE$10/Table!$AE$9)/(Table!$AC$12-Table!$AC$13)),2)</f>
        <v>66.010000000000005</v>
      </c>
      <c r="Q63" s="59">
        <f>'Raw Data'!C63</f>
        <v>9.2600000000000016E-2</v>
      </c>
      <c r="R63" s="59">
        <f>'Raw Data'!C63/'Raw Data'!I$30*100</f>
        <v>0.84228036372344728</v>
      </c>
      <c r="S63" s="109">
        <f t="shared" si="7"/>
        <v>0.32465172622652949</v>
      </c>
      <c r="T63" s="109">
        <f t="shared" si="8"/>
        <v>0.78681417347031657</v>
      </c>
      <c r="U63" s="77">
        <f t="shared" si="9"/>
        <v>1.018623118502524E-2</v>
      </c>
      <c r="V63" s="77">
        <f t="shared" si="10"/>
        <v>0.17081412184640085</v>
      </c>
      <c r="W63" s="77">
        <f t="shared" si="11"/>
        <v>4.9860263144519849E-2</v>
      </c>
      <c r="X63" s="86">
        <f t="shared" si="12"/>
        <v>0.10236781549741525</v>
      </c>
      <c r="AS63" s="118"/>
      <c r="AT63" s="118"/>
    </row>
    <row r="64" spans="1:46" x14ac:dyDescent="0.2">
      <c r="A64" s="59">
        <v>91.88909912109375</v>
      </c>
      <c r="B64" s="158">
        <v>0.11837854312709541</v>
      </c>
      <c r="C64" s="158">
        <f t="shared" si="1"/>
        <v>0.88162145687290461</v>
      </c>
      <c r="D64" s="60">
        <f t="shared" si="2"/>
        <v>6.1932337701920158E-2</v>
      </c>
      <c r="E64" s="58">
        <f>(2*Table!$AC$16*0.147)/A64</f>
        <v>0.99745330122801923</v>
      </c>
      <c r="F64" s="58">
        <f t="shared" si="3"/>
        <v>1.9949066024560385</v>
      </c>
      <c r="G64" s="59">
        <f>IF((('Raw Data'!C64)/('Raw Data'!C$136)*100)&lt;0,0,('Raw Data'!C64)/('Raw Data'!C$136)*100)</f>
        <v>11.83785431270954</v>
      </c>
      <c r="H64" s="59">
        <f t="shared" si="4"/>
        <v>6.1932337701920144</v>
      </c>
      <c r="I64" s="99">
        <f t="shared" si="5"/>
        <v>4.582084635861209E-2</v>
      </c>
      <c r="J64" s="58">
        <f>'Raw Data'!F64/I64</f>
        <v>1.3516192437218018</v>
      </c>
      <c r="K64" s="74">
        <f t="shared" si="6"/>
        <v>0.24494234152498684</v>
      </c>
      <c r="L64" s="59">
        <f>A64*Table!$AC$9/$AC$16</f>
        <v>20.632544876700329</v>
      </c>
      <c r="M64" s="59">
        <f>A64*Table!$AD$9/$AC$16</f>
        <v>7.0740153862972566</v>
      </c>
      <c r="N64" s="59">
        <f>ABS(A64*Table!$AE$9/$AC$16)</f>
        <v>8.9341540039724787</v>
      </c>
      <c r="O64" s="59">
        <f>($L64*(Table!$AC$10/Table!$AC$9)/(Table!$AC$12-Table!$AC$14))</f>
        <v>44.256853017375228</v>
      </c>
      <c r="P64" s="59">
        <f>ROUND(($N64*(Table!$AE$10/Table!$AE$9)/(Table!$AC$12-Table!$AC$13)),2)</f>
        <v>73.349999999999994</v>
      </c>
      <c r="Q64" s="59">
        <f>'Raw Data'!C64</f>
        <v>0.19420000000000001</v>
      </c>
      <c r="R64" s="59">
        <f>'Raw Data'!C64/'Raw Data'!I$30*100</f>
        <v>1.7664238297526291</v>
      </c>
      <c r="S64" s="109">
        <f t="shared" si="7"/>
        <v>0.61538461538461575</v>
      </c>
      <c r="T64" s="109">
        <f t="shared" si="8"/>
        <v>0.62743312342827995</v>
      </c>
      <c r="U64" s="77">
        <f t="shared" si="9"/>
        <v>1.9223431796026116E-2</v>
      </c>
      <c r="V64" s="77">
        <f t="shared" si="10"/>
        <v>0.49995507746786721</v>
      </c>
      <c r="W64" s="77">
        <f t="shared" si="11"/>
        <v>7.6531776010051872E-2</v>
      </c>
      <c r="X64" s="86">
        <f t="shared" si="12"/>
        <v>0.17889959150746712</v>
      </c>
      <c r="AS64" s="118"/>
      <c r="AT64" s="118"/>
    </row>
    <row r="65" spans="1:46" x14ac:dyDescent="0.2">
      <c r="A65" s="59">
        <v>101.04996490478516</v>
      </c>
      <c r="B65" s="158">
        <v>0.20444986284669306</v>
      </c>
      <c r="C65" s="158">
        <f t="shared" si="1"/>
        <v>0.79555013715330691</v>
      </c>
      <c r="D65" s="60">
        <f t="shared" si="2"/>
        <v>8.6071319719597653E-2</v>
      </c>
      <c r="E65" s="58">
        <f>(2*Table!$AC$16*0.147)/A65</f>
        <v>0.90702738344903044</v>
      </c>
      <c r="F65" s="58">
        <f t="shared" si="3"/>
        <v>1.8140547668980609</v>
      </c>
      <c r="G65" s="59">
        <f>IF((('Raw Data'!C65)/('Raw Data'!C$136)*100)&lt;0,0,('Raw Data'!C65)/('Raw Data'!C$136)*100)</f>
        <v>20.444986284669305</v>
      </c>
      <c r="H65" s="59">
        <f t="shared" si="4"/>
        <v>8.607131971959765</v>
      </c>
      <c r="I65" s="99">
        <f t="shared" si="5"/>
        <v>4.127217328584467E-2</v>
      </c>
      <c r="J65" s="58">
        <f>'Raw Data'!F65/I65</f>
        <v>2.0854564435820002</v>
      </c>
      <c r="K65" s="74">
        <f t="shared" si="6"/>
        <v>0.2693618204067687</v>
      </c>
      <c r="L65" s="59">
        <f>A65*Table!$AC$9/$AC$16</f>
        <v>22.689502407020189</v>
      </c>
      <c r="M65" s="59">
        <f>A65*Table!$AD$9/$AC$16</f>
        <v>7.7792579681212075</v>
      </c>
      <c r="N65" s="59">
        <f>ABS(A65*Table!$AE$9/$AC$16)</f>
        <v>9.8248427418538249</v>
      </c>
      <c r="O65" s="59">
        <f>($L65*(Table!$AC$10/Table!$AC$9)/(Table!$AC$12-Table!$AC$14))</f>
        <v>48.669031332089638</v>
      </c>
      <c r="P65" s="59">
        <f>ROUND(($N65*(Table!$AE$10/Table!$AE$9)/(Table!$AC$12-Table!$AC$13)),2)</f>
        <v>80.66</v>
      </c>
      <c r="Q65" s="59">
        <f>'Raw Data'!C65</f>
        <v>0.33539999999999998</v>
      </c>
      <c r="R65" s="59">
        <f>'Raw Data'!C65/'Raw Data'!I$30*100</f>
        <v>3.0507649459270425</v>
      </c>
      <c r="S65" s="109">
        <f t="shared" si="7"/>
        <v>0.85523924894003645</v>
      </c>
      <c r="T65" s="109">
        <f t="shared" si="8"/>
        <v>0.44427198848495619</v>
      </c>
      <c r="U65" s="77">
        <f t="shared" si="9"/>
        <v>3.0190658144232323E-2</v>
      </c>
      <c r="V65" s="77">
        <f t="shared" si="10"/>
        <v>1.0725991030021651</v>
      </c>
      <c r="W65" s="77">
        <f t="shared" si="11"/>
        <v>8.7950524541858657E-2</v>
      </c>
      <c r="X65" s="86">
        <f t="shared" si="12"/>
        <v>0.26685011604932579</v>
      </c>
      <c r="AS65" s="118"/>
      <c r="AT65" s="118"/>
    </row>
    <row r="66" spans="1:46" x14ac:dyDescent="0.2">
      <c r="A66" s="59">
        <v>110.13271331787109</v>
      </c>
      <c r="B66" s="158">
        <v>0.30508991161231325</v>
      </c>
      <c r="C66" s="158">
        <f t="shared" si="1"/>
        <v>0.69491008838768675</v>
      </c>
      <c r="D66" s="60">
        <f t="shared" si="2"/>
        <v>0.10064004876562019</v>
      </c>
      <c r="E66" s="58">
        <f>(2*Table!$AC$16*0.147)/A66</f>
        <v>0.83222398235721018</v>
      </c>
      <c r="F66" s="58">
        <f t="shared" si="3"/>
        <v>1.6644479647144204</v>
      </c>
      <c r="G66" s="59">
        <f>IF((('Raw Data'!C66)/('Raw Data'!C$136)*100)&lt;0,0,('Raw Data'!C66)/('Raw Data'!C$136)*100)</f>
        <v>30.508991161231325</v>
      </c>
      <c r="H66" s="59">
        <f t="shared" si="4"/>
        <v>10.06400487656202</v>
      </c>
      <c r="I66" s="99">
        <f t="shared" si="5"/>
        <v>3.7380171964230435E-2</v>
      </c>
      <c r="J66" s="58">
        <f>'Raw Data'!F66/I66</f>
        <v>2.6923377683207006</v>
      </c>
      <c r="K66" s="74">
        <f t="shared" si="6"/>
        <v>0.29357306728004362</v>
      </c>
      <c r="L66" s="59">
        <f>A66*Table!$AC$9/$AC$16</f>
        <v>24.728919661397811</v>
      </c>
      <c r="M66" s="59">
        <f>A66*Table!$AD$9/$AC$16</f>
        <v>8.4784867410506788</v>
      </c>
      <c r="N66" s="59">
        <f>ABS(A66*Table!$AE$9/$AC$16)</f>
        <v>10.707936317457493</v>
      </c>
      <c r="O66" s="59">
        <f>($L66*(Table!$AC$10/Table!$AC$9)/(Table!$AC$12-Table!$AC$14))</f>
        <v>53.043585717284024</v>
      </c>
      <c r="P66" s="59">
        <f>ROUND(($N66*(Table!$AE$10/Table!$AE$9)/(Table!$AC$12-Table!$AC$13)),2)</f>
        <v>87.91</v>
      </c>
      <c r="Q66" s="59">
        <f>'Raw Data'!C66</f>
        <v>0.50049999999999994</v>
      </c>
      <c r="R66" s="59">
        <f>'Raw Data'!C66/'Raw Data'!I$30*100</f>
        <v>4.5524980782244624</v>
      </c>
      <c r="S66" s="109">
        <f t="shared" si="7"/>
        <v>1</v>
      </c>
      <c r="T66" s="109">
        <f t="shared" si="8"/>
        <v>0.26397629284203294</v>
      </c>
      <c r="U66" s="77">
        <f t="shared" si="9"/>
        <v>4.1336474341504621E-2</v>
      </c>
      <c r="V66" s="77">
        <f t="shared" si="10"/>
        <v>1.8247052830358521</v>
      </c>
      <c r="W66" s="77">
        <f t="shared" si="11"/>
        <v>8.6574594601311755E-2</v>
      </c>
      <c r="X66" s="86">
        <f t="shared" si="12"/>
        <v>0.35342471065063752</v>
      </c>
      <c r="AS66" s="118"/>
      <c r="AT66" s="118"/>
    </row>
    <row r="67" spans="1:46" x14ac:dyDescent="0.2">
      <c r="A67" s="59">
        <v>120.52999114990234</v>
      </c>
      <c r="B67" s="158">
        <v>0.3725693386162755</v>
      </c>
      <c r="C67" s="158">
        <f t="shared" si="1"/>
        <v>0.6274306613837245</v>
      </c>
      <c r="D67" s="60">
        <f t="shared" si="2"/>
        <v>6.7479427003962256E-2</v>
      </c>
      <c r="E67" s="58">
        <f>(2*Table!$AC$16*0.147)/A67</f>
        <v>0.76043385045314427</v>
      </c>
      <c r="F67" s="58">
        <f t="shared" si="3"/>
        <v>1.5208677009062885</v>
      </c>
      <c r="G67" s="59">
        <f>IF((('Raw Data'!C67)/('Raw Data'!C$136)*100)&lt;0,0,('Raw Data'!C67)/('Raw Data'!C$136)*100)</f>
        <v>37.256933861627552</v>
      </c>
      <c r="H67" s="59">
        <f t="shared" si="4"/>
        <v>6.7479427003962265</v>
      </c>
      <c r="I67" s="99">
        <f t="shared" si="5"/>
        <v>3.9178785689919352E-2</v>
      </c>
      <c r="J67" s="58">
        <f>'Raw Data'!F67/I67</f>
        <v>1.72234605579735</v>
      </c>
      <c r="K67" s="74">
        <f t="shared" si="6"/>
        <v>0.32128836324031224</v>
      </c>
      <c r="L67" s="59">
        <f>A67*Table!$AC$9/$AC$16</f>
        <v>27.063498012005031</v>
      </c>
      <c r="M67" s="59">
        <f>A67*Table!$AD$9/$AC$16</f>
        <v>9.2789136041160099</v>
      </c>
      <c r="N67" s="59">
        <f>ABS(A67*Table!$AE$9/$AC$16)</f>
        <v>11.718838396833005</v>
      </c>
      <c r="O67" s="59">
        <f>($L67*(Table!$AC$10/Table!$AC$9)/(Table!$AC$12-Table!$AC$14))</f>
        <v>58.051261287012082</v>
      </c>
      <c r="P67" s="59">
        <f>ROUND(($N67*(Table!$AE$10/Table!$AE$9)/(Table!$AC$12-Table!$AC$13)),2)</f>
        <v>96.21</v>
      </c>
      <c r="Q67" s="59">
        <f>'Raw Data'!C67</f>
        <v>0.61119999999999997</v>
      </c>
      <c r="R67" s="59">
        <f>'Raw Data'!C67/'Raw Data'!I$30*100</f>
        <v>5.5594142365849981</v>
      </c>
      <c r="S67" s="109">
        <f t="shared" si="7"/>
        <v>0.67050272562083668</v>
      </c>
      <c r="T67" s="109">
        <f t="shared" si="8"/>
        <v>0.16304441932427882</v>
      </c>
      <c r="U67" s="77">
        <f t="shared" si="9"/>
        <v>4.6124737781410699E-2</v>
      </c>
      <c r="V67" s="77">
        <f t="shared" si="10"/>
        <v>2.1962670087397971</v>
      </c>
      <c r="W67" s="77">
        <f t="shared" si="11"/>
        <v>4.8465583168753802E-2</v>
      </c>
      <c r="X67" s="86">
        <f t="shared" si="12"/>
        <v>0.40189029381939134</v>
      </c>
      <c r="AS67" s="118"/>
      <c r="AT67" s="118"/>
    </row>
    <row r="68" spans="1:46" x14ac:dyDescent="0.2">
      <c r="A68" s="59">
        <v>132.16075134277344</v>
      </c>
      <c r="B68" s="158">
        <v>0.40646144468149947</v>
      </c>
      <c r="C68" s="158">
        <f t="shared" si="1"/>
        <v>0.59353855531850053</v>
      </c>
      <c r="D68" s="60">
        <f t="shared" si="2"/>
        <v>3.389210606522397E-2</v>
      </c>
      <c r="E68" s="58">
        <f>(2*Table!$AC$16*0.147)/A68</f>
        <v>0.69351213831620928</v>
      </c>
      <c r="F68" s="58">
        <f t="shared" si="3"/>
        <v>1.3870242766324186</v>
      </c>
      <c r="G68" s="59">
        <f>IF((('Raw Data'!C68)/('Raw Data'!C$136)*100)&lt;0,0,('Raw Data'!C68)/('Raw Data'!C$136)*100)</f>
        <v>40.646144468149949</v>
      </c>
      <c r="H68" s="59">
        <f t="shared" si="4"/>
        <v>3.389210606522397</v>
      </c>
      <c r="I68" s="99">
        <f t="shared" si="5"/>
        <v>4.0007374304098259E-2</v>
      </c>
      <c r="J68" s="58">
        <f>'Raw Data'!F68/I68</f>
        <v>0.84714647373777152</v>
      </c>
      <c r="K68" s="74">
        <f t="shared" si="6"/>
        <v>0.3522916668161058</v>
      </c>
      <c r="L68" s="59">
        <f>A68*Table!$AC$9/$AC$16</f>
        <v>29.675039358311096</v>
      </c>
      <c r="M68" s="59">
        <f>A68*Table!$AD$9/$AC$16</f>
        <v>10.174299208563804</v>
      </c>
      <c r="N68" s="59">
        <f>ABS(A68*Table!$AE$9/$AC$16)</f>
        <v>12.849668971300238</v>
      </c>
      <c r="O68" s="59">
        <f>($L68*(Table!$AC$10/Table!$AC$9)/(Table!$AC$12-Table!$AC$14))</f>
        <v>63.653023076600384</v>
      </c>
      <c r="P68" s="59">
        <f>ROUND(($N68*(Table!$AE$10/Table!$AE$9)/(Table!$AC$12-Table!$AC$13)),2)</f>
        <v>105.5</v>
      </c>
      <c r="Q68" s="59">
        <f>'Raw Data'!C68</f>
        <v>0.66679999999999995</v>
      </c>
      <c r="R68" s="59">
        <f>'Raw Data'!C68/'Raw Data'!I$30*100</f>
        <v>6.0651462908293139</v>
      </c>
      <c r="S68" s="109">
        <f t="shared" si="7"/>
        <v>0.336765596608116</v>
      </c>
      <c r="T68" s="109">
        <f t="shared" si="8"/>
        <v>0.1208805210486662</v>
      </c>
      <c r="U68" s="77">
        <f t="shared" si="9"/>
        <v>4.5892189846126787E-2</v>
      </c>
      <c r="V68" s="77">
        <f t="shared" si="10"/>
        <v>2.1775752672587618</v>
      </c>
      <c r="W68" s="77">
        <f t="shared" si="11"/>
        <v>2.0246309192270429E-2</v>
      </c>
      <c r="X68" s="86">
        <f t="shared" si="12"/>
        <v>0.42213660301166178</v>
      </c>
      <c r="AS68" s="118"/>
      <c r="AT68" s="118"/>
    </row>
    <row r="69" spans="1:46" x14ac:dyDescent="0.2">
      <c r="A69" s="59">
        <v>144.48294067382812</v>
      </c>
      <c r="B69" s="158">
        <v>0.43163669612922884</v>
      </c>
      <c r="C69" s="158">
        <f t="shared" si="1"/>
        <v>0.56836330387077116</v>
      </c>
      <c r="D69" s="60">
        <f t="shared" si="2"/>
        <v>2.5175251447729363E-2</v>
      </c>
      <c r="E69" s="58">
        <f>(2*Table!$AC$16*0.147)/A69</f>
        <v>0.63436613926702967</v>
      </c>
      <c r="F69" s="58">
        <f t="shared" si="3"/>
        <v>1.2687322785340593</v>
      </c>
      <c r="G69" s="59">
        <f>IF((('Raw Data'!C69)/('Raw Data'!C$136)*100)&lt;0,0,('Raw Data'!C69)/('Raw Data'!C$136)*100)</f>
        <v>43.163669612922881</v>
      </c>
      <c r="H69" s="59">
        <f t="shared" si="4"/>
        <v>2.5175251447729323</v>
      </c>
      <c r="I69" s="99">
        <f t="shared" si="5"/>
        <v>3.8714073315950004E-2</v>
      </c>
      <c r="J69" s="58">
        <f>'Raw Data'!F69/I69</f>
        <v>0.6502868153984015</v>
      </c>
      <c r="K69" s="74">
        <f t="shared" si="6"/>
        <v>0.38513806466233186</v>
      </c>
      <c r="L69" s="59">
        <f>A69*Table!$AC$9/$AC$16</f>
        <v>32.44183244676158</v>
      </c>
      <c r="M69" s="59">
        <f>A69*Table!$AD$9/$AC$16</f>
        <v>11.122913981746828</v>
      </c>
      <c r="N69" s="59">
        <f>ABS(A69*Table!$AE$9/$AC$16)</f>
        <v>14.047725522106903</v>
      </c>
      <c r="O69" s="59">
        <f>($L69*(Table!$AC$10/Table!$AC$9)/(Table!$AC$12-Table!$AC$14))</f>
        <v>69.587800186103792</v>
      </c>
      <c r="P69" s="59">
        <f>ROUND(($N69*(Table!$AE$10/Table!$AE$9)/(Table!$AC$12-Table!$AC$13)),2)</f>
        <v>115.33</v>
      </c>
      <c r="Q69" s="59">
        <f>'Raw Data'!C69</f>
        <v>0.70809999999999995</v>
      </c>
      <c r="R69" s="59">
        <f>'Raw Data'!C69/'Raw Data'!I$30*100</f>
        <v>6.4408069714100735</v>
      </c>
      <c r="S69" s="109">
        <f t="shared" si="7"/>
        <v>0.25015142337977009</v>
      </c>
      <c r="T69" s="109">
        <f t="shared" si="8"/>
        <v>9.467529741306413E-2</v>
      </c>
      <c r="U69" s="77">
        <f t="shared" si="9"/>
        <v>4.4578321436232866E-2</v>
      </c>
      <c r="V69" s="77">
        <f t="shared" si="10"/>
        <v>2.0731994821498079</v>
      </c>
      <c r="W69" s="77">
        <f t="shared" si="11"/>
        <v>1.2583254439873865E-2</v>
      </c>
      <c r="X69" s="86">
        <f t="shared" si="12"/>
        <v>0.43471985745153563</v>
      </c>
      <c r="AS69" s="118"/>
      <c r="AT69" s="118"/>
    </row>
    <row r="70" spans="1:46" x14ac:dyDescent="0.2">
      <c r="A70" s="59">
        <v>158.00871276855469</v>
      </c>
      <c r="B70" s="158">
        <v>0.45583663517220357</v>
      </c>
      <c r="C70" s="158">
        <f t="shared" si="1"/>
        <v>0.54416336482779637</v>
      </c>
      <c r="D70" s="60">
        <f t="shared" si="2"/>
        <v>2.4199939042974739E-2</v>
      </c>
      <c r="E70" s="58">
        <f>(2*Table!$AC$16*0.147)/A70</f>
        <v>0.58006348928021845</v>
      </c>
      <c r="F70" s="58">
        <f t="shared" si="3"/>
        <v>1.1601269785604369</v>
      </c>
      <c r="G70" s="59">
        <f>IF((('Raw Data'!C70)/('Raw Data'!C$136)*100)&lt;0,0,('Raw Data'!C70)/('Raw Data'!C$136)*100)</f>
        <v>45.583663517220359</v>
      </c>
      <c r="H70" s="59">
        <f t="shared" si="4"/>
        <v>2.4199939042974776</v>
      </c>
      <c r="I70" s="99">
        <f t="shared" si="5"/>
        <v>3.8864462781885822E-2</v>
      </c>
      <c r="J70" s="58">
        <f>'Raw Data'!F70/I70</f>
        <v>0.62267524907751948</v>
      </c>
      <c r="K70" s="74">
        <f t="shared" si="6"/>
        <v>0.42119276886015672</v>
      </c>
      <c r="L70" s="59">
        <f>A70*Table!$AC$9/$AC$16</f>
        <v>35.478874951321345</v>
      </c>
      <c r="M70" s="59">
        <f>A70*Table!$AD$9/$AC$16</f>
        <v>12.16418569759589</v>
      </c>
      <c r="N70" s="59">
        <f>ABS(A70*Table!$AE$9/$AC$16)</f>
        <v>15.362803502767838</v>
      </c>
      <c r="O70" s="59">
        <f>($L70*(Table!$AC$10/Table!$AC$9)/(Table!$AC$12-Table!$AC$14))</f>
        <v>76.102262872847163</v>
      </c>
      <c r="P70" s="59">
        <f>ROUND(($N70*(Table!$AE$10/Table!$AE$9)/(Table!$AC$12-Table!$AC$13)),2)</f>
        <v>126.13</v>
      </c>
      <c r="Q70" s="59">
        <f>'Raw Data'!C70</f>
        <v>0.74780000000000002</v>
      </c>
      <c r="R70" s="59">
        <f>'Raw Data'!C70/'Raw Data'!I$30*100</f>
        <v>6.8019142115809252</v>
      </c>
      <c r="S70" s="109">
        <f t="shared" si="7"/>
        <v>0.24046032707450077</v>
      </c>
      <c r="T70" s="109">
        <f t="shared" si="8"/>
        <v>7.3613307527681915E-2</v>
      </c>
      <c r="U70" s="77">
        <f t="shared" si="9"/>
        <v>4.3047716118946665E-2</v>
      </c>
      <c r="V70" s="77">
        <f t="shared" si="10"/>
        <v>1.9542608879484589</v>
      </c>
      <c r="W70" s="77">
        <f t="shared" si="11"/>
        <v>1.0113570539338982E-2</v>
      </c>
      <c r="X70" s="86">
        <f t="shared" si="12"/>
        <v>0.44483342799087461</v>
      </c>
      <c r="AS70" s="118"/>
      <c r="AT70" s="118"/>
    </row>
    <row r="71" spans="1:46" x14ac:dyDescent="0.2">
      <c r="A71" s="59">
        <v>173.680908203125</v>
      </c>
      <c r="B71" s="158">
        <v>0.47741542212740018</v>
      </c>
      <c r="C71" s="158">
        <f t="shared" si="1"/>
        <v>0.52258457787259982</v>
      </c>
      <c r="D71" s="60">
        <f t="shared" si="2"/>
        <v>2.1578786955196605E-2</v>
      </c>
      <c r="E71" s="58">
        <f>(2*Table!$AC$16*0.147)/A71</f>
        <v>0.52772113074172944</v>
      </c>
      <c r="F71" s="58">
        <f t="shared" si="3"/>
        <v>1.0554422614834589</v>
      </c>
      <c r="G71" s="59">
        <f>IF((('Raw Data'!C71)/('Raw Data'!C$136)*100)&lt;0,0,('Raw Data'!C71)/('Raw Data'!C$136)*100)</f>
        <v>47.741542212740015</v>
      </c>
      <c r="H71" s="59">
        <f t="shared" si="4"/>
        <v>2.1578786955196563</v>
      </c>
      <c r="I71" s="99">
        <f t="shared" si="5"/>
        <v>4.1071046367757019E-2</v>
      </c>
      <c r="J71" s="58">
        <f>'Raw Data'!F71/I71</f>
        <v>0.52540144124833188</v>
      </c>
      <c r="K71" s="74">
        <f t="shared" si="6"/>
        <v>0.46296904355757235</v>
      </c>
      <c r="L71" s="59">
        <f>A71*Table!$AC$9/$AC$16</f>
        <v>38.997869899721714</v>
      </c>
      <c r="M71" s="59">
        <f>A71*Table!$AD$9/$AC$16</f>
        <v>13.37069825133316</v>
      </c>
      <c r="N71" s="59">
        <f>ABS(A71*Table!$AE$9/$AC$16)</f>
        <v>16.886573013319754</v>
      </c>
      <c r="O71" s="59">
        <f>($L71*(Table!$AC$10/Table!$AC$9)/(Table!$AC$12-Table!$AC$14))</f>
        <v>83.650514585417667</v>
      </c>
      <c r="P71" s="59">
        <f>ROUND(($N71*(Table!$AE$10/Table!$AE$9)/(Table!$AC$12-Table!$AC$13)),2)</f>
        <v>138.63999999999999</v>
      </c>
      <c r="Q71" s="59">
        <f>'Raw Data'!C71</f>
        <v>0.78320000000000001</v>
      </c>
      <c r="R71" s="59">
        <f>'Raw Data'!C71/'Raw Data'!I$30*100</f>
        <v>7.1239090806501482</v>
      </c>
      <c r="S71" s="109">
        <f t="shared" si="7"/>
        <v>0.21441550575408871</v>
      </c>
      <c r="T71" s="109">
        <f t="shared" si="8"/>
        <v>5.8069047150149378E-2</v>
      </c>
      <c r="U71" s="77">
        <f t="shared" si="9"/>
        <v>4.1017226097865199E-2</v>
      </c>
      <c r="V71" s="77">
        <f t="shared" si="10"/>
        <v>1.8009385167536023</v>
      </c>
      <c r="W71" s="77">
        <f t="shared" si="11"/>
        <v>7.4640608349705309E-3</v>
      </c>
      <c r="X71" s="86">
        <f t="shared" si="12"/>
        <v>0.45229748882584514</v>
      </c>
      <c r="AS71" s="118"/>
      <c r="AT71" s="118"/>
    </row>
    <row r="72" spans="1:46" x14ac:dyDescent="0.2">
      <c r="A72" s="59">
        <v>189.90277099609375</v>
      </c>
      <c r="B72" s="158">
        <v>0.49759219750076195</v>
      </c>
      <c r="C72" s="158">
        <f t="shared" si="1"/>
        <v>0.502407802499238</v>
      </c>
      <c r="D72" s="60">
        <f t="shared" si="2"/>
        <v>2.0176775373361766E-2</v>
      </c>
      <c r="E72" s="58">
        <f>(2*Table!$AC$16*0.147)/A72</f>
        <v>0.48264216885539263</v>
      </c>
      <c r="F72" s="58">
        <f t="shared" si="3"/>
        <v>0.96528433771078526</v>
      </c>
      <c r="G72" s="59">
        <f>IF((('Raw Data'!C72)/('Raw Data'!C$136)*100)&lt;0,0,('Raw Data'!C72)/('Raw Data'!C$136)*100)</f>
        <v>49.759219750076191</v>
      </c>
      <c r="H72" s="59">
        <f t="shared" si="4"/>
        <v>2.0176775373361764</v>
      </c>
      <c r="I72" s="99">
        <f t="shared" si="5"/>
        <v>3.8779220417059224E-2</v>
      </c>
      <c r="J72" s="58">
        <f>'Raw Data'!F72/I72</f>
        <v>0.52029863304023194</v>
      </c>
      <c r="K72" s="74">
        <f t="shared" si="6"/>
        <v>0.50621052806892408</v>
      </c>
      <c r="L72" s="59">
        <f>A72*Table!$AC$9/$AC$16</f>
        <v>42.640285760372713</v>
      </c>
      <c r="M72" s="59">
        <f>A72*Table!$AD$9/$AC$16</f>
        <v>14.6195265464135</v>
      </c>
      <c r="N72" s="59">
        <f>ABS(A72*Table!$AE$9/$AC$16)</f>
        <v>18.463785346555316</v>
      </c>
      <c r="O72" s="59">
        <f>($L72*(Table!$AC$10/Table!$AC$9)/(Table!$AC$12-Table!$AC$14))</f>
        <v>91.463504419503906</v>
      </c>
      <c r="P72" s="59">
        <f>ROUND(($N72*(Table!$AE$10/Table!$AE$9)/(Table!$AC$12-Table!$AC$13)),2)</f>
        <v>151.59</v>
      </c>
      <c r="Q72" s="59">
        <f>'Raw Data'!C72</f>
        <v>0.81630000000000003</v>
      </c>
      <c r="R72" s="59">
        <f>'Raw Data'!C72/'Raw Data'!I$30*100</f>
        <v>7.4249833791301292</v>
      </c>
      <c r="S72" s="109">
        <f t="shared" si="7"/>
        <v>0.20048455481526345</v>
      </c>
      <c r="T72" s="109">
        <f t="shared" si="8"/>
        <v>4.5911768995983815E-2</v>
      </c>
      <c r="U72" s="77">
        <f t="shared" si="9"/>
        <v>3.9098868016427521E-2</v>
      </c>
      <c r="V72" s="77">
        <f t="shared" si="10"/>
        <v>1.6608198649427788</v>
      </c>
      <c r="W72" s="77">
        <f t="shared" si="11"/>
        <v>5.8376958135305679E-3</v>
      </c>
      <c r="X72" s="86">
        <f t="shared" si="12"/>
        <v>0.45813518463937569</v>
      </c>
      <c r="AS72" s="118"/>
      <c r="AT72" s="118"/>
    </row>
    <row r="73" spans="1:46" x14ac:dyDescent="0.2">
      <c r="A73" s="59">
        <v>207.73518371582031</v>
      </c>
      <c r="B73" s="158">
        <v>0.5156964340140201</v>
      </c>
      <c r="C73" s="158">
        <f t="shared" si="1"/>
        <v>0.4843035659859799</v>
      </c>
      <c r="D73" s="60">
        <f t="shared" si="2"/>
        <v>1.8104236513258154E-2</v>
      </c>
      <c r="E73" s="58">
        <f>(2*Table!$AC$16*0.147)/A73</f>
        <v>0.44121117870233717</v>
      </c>
      <c r="F73" s="58">
        <f t="shared" si="3"/>
        <v>0.88242235740467434</v>
      </c>
      <c r="G73" s="59">
        <f>IF((('Raw Data'!C73)/('Raw Data'!C$136)*100)&lt;0,0,('Raw Data'!C73)/('Raw Data'!C$136)*100)</f>
        <v>51.569643401402011</v>
      </c>
      <c r="H73" s="59">
        <f t="shared" si="4"/>
        <v>1.8104236513258201</v>
      </c>
      <c r="I73" s="99">
        <f t="shared" si="5"/>
        <v>3.897875654179711E-2</v>
      </c>
      <c r="J73" s="58">
        <f>'Raw Data'!F73/I73</f>
        <v>0.4644641881750356</v>
      </c>
      <c r="K73" s="74">
        <f t="shared" si="6"/>
        <v>0.55374514282070908</v>
      </c>
      <c r="L73" s="59">
        <f>A73*Table!$AC$9/$AC$16</f>
        <v>46.644330410051289</v>
      </c>
      <c r="M73" s="59">
        <f>A73*Table!$AD$9/$AC$16</f>
        <v>15.992341854874727</v>
      </c>
      <c r="N73" s="59">
        <f>ABS(A73*Table!$AE$9/$AC$16)</f>
        <v>20.197587538809721</v>
      </c>
      <c r="O73" s="59">
        <f>($L73*(Table!$AC$10/Table!$AC$9)/(Table!$AC$12-Table!$AC$14))</f>
        <v>100.05218878174881</v>
      </c>
      <c r="P73" s="59">
        <f>ROUND(($N73*(Table!$AE$10/Table!$AE$9)/(Table!$AC$12-Table!$AC$13)),2)</f>
        <v>165.83</v>
      </c>
      <c r="Q73" s="59">
        <f>'Raw Data'!C73</f>
        <v>0.84599999999999997</v>
      </c>
      <c r="R73" s="59">
        <f>'Raw Data'!C73/'Raw Data'!I$30*100</f>
        <v>7.6951316167390527</v>
      </c>
      <c r="S73" s="109">
        <f t="shared" si="7"/>
        <v>0.17989097516656583</v>
      </c>
      <c r="T73" s="109">
        <f t="shared" si="8"/>
        <v>3.6795706459955335E-2</v>
      </c>
      <c r="U73" s="77">
        <f t="shared" si="9"/>
        <v>3.7042986551887702E-2</v>
      </c>
      <c r="V73" s="77">
        <f t="shared" si="10"/>
        <v>1.5158447762794571</v>
      </c>
      <c r="W73" s="77">
        <f t="shared" si="11"/>
        <v>4.3773613984657801E-3</v>
      </c>
      <c r="X73" s="86">
        <f t="shared" si="12"/>
        <v>0.46251254603784148</v>
      </c>
      <c r="AS73" s="118"/>
      <c r="AT73" s="118"/>
    </row>
    <row r="74" spans="1:46" x14ac:dyDescent="0.2">
      <c r="A74" s="59">
        <v>227.25628662109375</v>
      </c>
      <c r="B74" s="158">
        <v>0.53355684242608958</v>
      </c>
      <c r="C74" s="158">
        <f t="shared" si="1"/>
        <v>0.46644315757391042</v>
      </c>
      <c r="D74" s="60">
        <f t="shared" si="2"/>
        <v>1.7860408412069484E-2</v>
      </c>
      <c r="E74" s="58">
        <f>(2*Table!$AC$16*0.147)/A74</f>
        <v>0.40331155026756599</v>
      </c>
      <c r="F74" s="58">
        <f t="shared" si="3"/>
        <v>0.80662310053513198</v>
      </c>
      <c r="G74" s="59">
        <f>IF((('Raw Data'!C74)/('Raw Data'!C$136)*100)&lt;0,0,('Raw Data'!C74)/('Raw Data'!C$136)*100)</f>
        <v>53.355684242608959</v>
      </c>
      <c r="H74" s="59">
        <f t="shared" si="4"/>
        <v>1.7860408412069475</v>
      </c>
      <c r="I74" s="99">
        <f t="shared" si="5"/>
        <v>3.9005847605441624E-2</v>
      </c>
      <c r="J74" s="58">
        <f>'Raw Data'!F74/I74</f>
        <v>0.45789053458686579</v>
      </c>
      <c r="K74" s="74">
        <f t="shared" si="6"/>
        <v>0.60578118083286381</v>
      </c>
      <c r="L74" s="59">
        <f>A74*Table!$AC$9/$AC$16</f>
        <v>51.027549263954285</v>
      </c>
      <c r="M74" s="59">
        <f>A74*Table!$AD$9/$AC$16</f>
        <v>17.49515974764147</v>
      </c>
      <c r="N74" s="59">
        <f>ABS(A74*Table!$AE$9/$AC$16)</f>
        <v>22.095576977723177</v>
      </c>
      <c r="O74" s="59">
        <f>($L74*(Table!$AC$10/Table!$AC$9)/(Table!$AC$12-Table!$AC$14))</f>
        <v>109.45420262538458</v>
      </c>
      <c r="P74" s="59">
        <f>ROUND(($N74*(Table!$AE$10/Table!$AE$9)/(Table!$AC$12-Table!$AC$13)),2)</f>
        <v>181.41</v>
      </c>
      <c r="Q74" s="59">
        <f>'Raw Data'!C74</f>
        <v>0.87529999999999997</v>
      </c>
      <c r="R74" s="59">
        <f>'Raw Data'!C74/'Raw Data'!I$30*100</f>
        <v>7.9616414942454989</v>
      </c>
      <c r="S74" s="109">
        <f t="shared" si="7"/>
        <v>0.17746820109024836</v>
      </c>
      <c r="T74" s="109">
        <f t="shared" si="8"/>
        <v>2.9281090827893874E-2</v>
      </c>
      <c r="U74" s="77">
        <f t="shared" si="9"/>
        <v>3.5033756876965999E-2</v>
      </c>
      <c r="V74" s="77">
        <f t="shared" si="10"/>
        <v>1.3794308209578918</v>
      </c>
      <c r="W74" s="77">
        <f t="shared" si="11"/>
        <v>3.608376781322959E-3</v>
      </c>
      <c r="X74" s="86">
        <f t="shared" si="12"/>
        <v>0.46612092281916445</v>
      </c>
      <c r="AS74" s="118"/>
      <c r="AT74" s="118"/>
    </row>
    <row r="75" spans="1:46" x14ac:dyDescent="0.2">
      <c r="A75" s="59">
        <v>250.01400756835938</v>
      </c>
      <c r="B75" s="158">
        <v>0.55019811033221577</v>
      </c>
      <c r="C75" s="158">
        <f t="shared" si="1"/>
        <v>0.44980188966778423</v>
      </c>
      <c r="D75" s="60">
        <f t="shared" si="2"/>
        <v>1.6641267906126189E-2</v>
      </c>
      <c r="E75" s="58">
        <f>(2*Table!$AC$16*0.147)/A75</f>
        <v>0.3665998003737575</v>
      </c>
      <c r="F75" s="58">
        <f t="shared" si="3"/>
        <v>0.733199600747515</v>
      </c>
      <c r="G75" s="59">
        <f>IF((('Raw Data'!C75)/('Raw Data'!C$136)*100)&lt;0,0,('Raw Data'!C75)/('Raw Data'!C$136)*100)</f>
        <v>55.019811033221579</v>
      </c>
      <c r="H75" s="59">
        <f t="shared" si="4"/>
        <v>1.6641267906126203</v>
      </c>
      <c r="I75" s="99">
        <f t="shared" si="5"/>
        <v>4.1448435622327529E-2</v>
      </c>
      <c r="J75" s="58">
        <f>'Raw Data'!F75/I75</f>
        <v>0.40149326883550307</v>
      </c>
      <c r="K75" s="74">
        <f t="shared" si="6"/>
        <v>0.66644484507501189</v>
      </c>
      <c r="L75" s="59">
        <f>A75*Table!$AC$9/$AC$16</f>
        <v>56.137510110529753</v>
      </c>
      <c r="M75" s="59">
        <f>A75*Table!$AD$9/$AC$16</f>
        <v>19.247146323610203</v>
      </c>
      <c r="N75" s="59">
        <f>ABS(A75*Table!$AE$9/$AC$16)</f>
        <v>24.308254930462272</v>
      </c>
      <c r="O75" s="59">
        <f>($L75*(Table!$AC$10/Table!$AC$9)/(Table!$AC$12-Table!$AC$14))</f>
        <v>120.41507960216593</v>
      </c>
      <c r="P75" s="59">
        <f>ROUND(($N75*(Table!$AE$10/Table!$AE$9)/(Table!$AC$12-Table!$AC$13)),2)</f>
        <v>199.58</v>
      </c>
      <c r="Q75" s="59">
        <f>'Raw Data'!C75</f>
        <v>0.90259999999999996</v>
      </c>
      <c r="R75" s="59">
        <f>'Raw Data'!C75/'Raw Data'!I$30*100</f>
        <v>8.2099595712395619</v>
      </c>
      <c r="S75" s="109">
        <f t="shared" si="7"/>
        <v>0.16535433070866157</v>
      </c>
      <c r="T75" s="109">
        <f t="shared" si="8"/>
        <v>2.3496069997978042E-2</v>
      </c>
      <c r="U75" s="77">
        <f t="shared" si="9"/>
        <v>3.2837998362930831E-2</v>
      </c>
      <c r="V75" s="77">
        <f t="shared" si="10"/>
        <v>1.2364195296909306</v>
      </c>
      <c r="W75" s="77">
        <f t="shared" si="11"/>
        <v>2.7778579589721043E-3</v>
      </c>
      <c r="X75" s="86">
        <f t="shared" si="12"/>
        <v>0.46889878077813657</v>
      </c>
      <c r="AS75" s="118"/>
      <c r="AT75" s="118"/>
    </row>
    <row r="76" spans="1:46" x14ac:dyDescent="0.2">
      <c r="A76" s="59">
        <v>273.13150024414062</v>
      </c>
      <c r="B76" s="158">
        <v>0.56562023773239856</v>
      </c>
      <c r="C76" s="158">
        <f t="shared" si="1"/>
        <v>0.43437976226760144</v>
      </c>
      <c r="D76" s="60">
        <f t="shared" si="2"/>
        <v>1.5422127400182783E-2</v>
      </c>
      <c r="E76" s="58">
        <f>(2*Table!$AC$16*0.147)/A76</f>
        <v>0.33557127311671137</v>
      </c>
      <c r="F76" s="58">
        <f t="shared" si="3"/>
        <v>0.67114254623342273</v>
      </c>
      <c r="G76" s="59">
        <f>IF((('Raw Data'!C76)/('Raw Data'!C$136)*100)&lt;0,0,('Raw Data'!C76)/('Raw Data'!C$136)*100)</f>
        <v>56.562023773239858</v>
      </c>
      <c r="H76" s="59">
        <f t="shared" si="4"/>
        <v>1.5422127400182788</v>
      </c>
      <c r="I76" s="99">
        <f t="shared" si="5"/>
        <v>3.8407448563167357E-2</v>
      </c>
      <c r="J76" s="58">
        <f>'Raw Data'!F76/I76</f>
        <v>0.40154001312580195</v>
      </c>
      <c r="K76" s="74">
        <f t="shared" si="6"/>
        <v>0.72806752763859284</v>
      </c>
      <c r="L76" s="59">
        <f>A76*Table!$AC$9/$AC$16</f>
        <v>61.328253187042904</v>
      </c>
      <c r="M76" s="59">
        <f>A76*Table!$AD$9/$AC$16</f>
        <v>21.026829664128996</v>
      </c>
      <c r="N76" s="59">
        <f>ABS(A76*Table!$AE$9/$AC$16)</f>
        <v>26.555912614851561</v>
      </c>
      <c r="O76" s="59">
        <f>($L76*(Table!$AC$10/Table!$AC$9)/(Table!$AC$12-Table!$AC$14))</f>
        <v>131.54923463544168</v>
      </c>
      <c r="P76" s="59">
        <f>ROUND(($N76*(Table!$AE$10/Table!$AE$9)/(Table!$AC$12-Table!$AC$13)),2)</f>
        <v>218.03</v>
      </c>
      <c r="Q76" s="59">
        <f>'Raw Data'!C76</f>
        <v>0.92789999999999995</v>
      </c>
      <c r="R76" s="59">
        <f>'Raw Data'!C76/'Raw Data'!I$30*100</f>
        <v>8.440085847721237</v>
      </c>
      <c r="S76" s="109">
        <f t="shared" si="7"/>
        <v>0.1532404603270737</v>
      </c>
      <c r="T76" s="109">
        <f t="shared" si="8"/>
        <v>1.9003985633205933E-2</v>
      </c>
      <c r="U76" s="77">
        <f t="shared" si="9"/>
        <v>3.0901180713967462E-2</v>
      </c>
      <c r="V76" s="77">
        <f t="shared" si="10"/>
        <v>1.115631442048175</v>
      </c>
      <c r="W76" s="77">
        <f t="shared" si="11"/>
        <v>2.1570142393485757E-3</v>
      </c>
      <c r="X76" s="86">
        <f t="shared" si="12"/>
        <v>0.47105579501748512</v>
      </c>
      <c r="AS76" s="118"/>
      <c r="AT76" s="118"/>
    </row>
    <row r="77" spans="1:46" x14ac:dyDescent="0.2">
      <c r="A77" s="59">
        <v>299.17291259765625</v>
      </c>
      <c r="B77" s="158">
        <v>0.57988418165193534</v>
      </c>
      <c r="C77" s="158">
        <f t="shared" si="1"/>
        <v>0.42011581834806466</v>
      </c>
      <c r="D77" s="60">
        <f t="shared" si="2"/>
        <v>1.4263943919536781E-2</v>
      </c>
      <c r="E77" s="58">
        <f>(2*Table!$AC$16*0.147)/A77</f>
        <v>0.30636157688669596</v>
      </c>
      <c r="F77" s="58">
        <f t="shared" si="3"/>
        <v>0.61272315377339193</v>
      </c>
      <c r="G77" s="59">
        <f>IF((('Raw Data'!C77)/('Raw Data'!C$136)*100)&lt;0,0,('Raw Data'!C77)/('Raw Data'!C$136)*100)</f>
        <v>57.988418165193536</v>
      </c>
      <c r="H77" s="59">
        <f t="shared" si="4"/>
        <v>1.4263943919536786</v>
      </c>
      <c r="I77" s="99">
        <f t="shared" si="5"/>
        <v>3.9550479341544265E-2</v>
      </c>
      <c r="J77" s="58">
        <f>'Raw Data'!F77/I77</f>
        <v>0.36065160668113005</v>
      </c>
      <c r="K77" s="74">
        <f t="shared" si="6"/>
        <v>0.79748429828384537</v>
      </c>
      <c r="L77" s="59">
        <f>A77*Table!$AC$9/$AC$16</f>
        <v>67.175525759913612</v>
      </c>
      <c r="M77" s="59">
        <f>A77*Table!$AD$9/$AC$16</f>
        <v>23.031608831970381</v>
      </c>
      <c r="N77" s="59">
        <f>ABS(A77*Table!$AE$9/$AC$16)</f>
        <v>29.087855910330571</v>
      </c>
      <c r="O77" s="59">
        <f>($L77*(Table!$AC$10/Table!$AC$9)/(Table!$AC$12-Table!$AC$14))</f>
        <v>144.09164684666155</v>
      </c>
      <c r="P77" s="59">
        <f>ROUND(($N77*(Table!$AE$10/Table!$AE$9)/(Table!$AC$12-Table!$AC$13)),2)</f>
        <v>238.82</v>
      </c>
      <c r="Q77" s="59">
        <f>'Raw Data'!C77</f>
        <v>0.95130000000000003</v>
      </c>
      <c r="R77" s="59">
        <f>'Raw Data'!C77/'Raw Data'!I$30*100</f>
        <v>8.6529299137161484</v>
      </c>
      <c r="S77" s="109">
        <f t="shared" si="7"/>
        <v>0.14173228346456754</v>
      </c>
      <c r="T77" s="109">
        <f t="shared" si="8"/>
        <v>1.5541067044884449E-2</v>
      </c>
      <c r="U77" s="77">
        <f t="shared" si="9"/>
        <v>2.8922838764327143E-2</v>
      </c>
      <c r="V77" s="77">
        <f t="shared" si="10"/>
        <v>0.99754221932689768</v>
      </c>
      <c r="W77" s="77">
        <f t="shared" si="11"/>
        <v>1.6628282325443502E-3</v>
      </c>
      <c r="X77" s="86">
        <f t="shared" si="12"/>
        <v>0.4727186232500295</v>
      </c>
      <c r="AS77" s="118"/>
      <c r="AT77" s="118"/>
    </row>
    <row r="78" spans="1:46" x14ac:dyDescent="0.2">
      <c r="A78" s="59">
        <v>327.35787963867187</v>
      </c>
      <c r="B78" s="158">
        <v>0.59347759829320323</v>
      </c>
      <c r="C78" s="158">
        <f t="shared" si="1"/>
        <v>0.40652240170679677</v>
      </c>
      <c r="D78" s="60">
        <f t="shared" si="2"/>
        <v>1.3593416641267897E-2</v>
      </c>
      <c r="E78" s="58">
        <f>(2*Table!$AC$16*0.147)/A78</f>
        <v>0.27998435646751457</v>
      </c>
      <c r="F78" s="58">
        <f t="shared" si="3"/>
        <v>0.55996871293502914</v>
      </c>
      <c r="G78" s="59">
        <f>IF((('Raw Data'!C78)/('Raw Data'!C$136)*100)&lt;0,0,('Raw Data'!C78)/('Raw Data'!C$136)*100)</f>
        <v>59.347759829320324</v>
      </c>
      <c r="H78" s="59">
        <f t="shared" si="4"/>
        <v>1.3593416641267879</v>
      </c>
      <c r="I78" s="99">
        <f t="shared" si="5"/>
        <v>3.9100529496819192E-2</v>
      </c>
      <c r="J78" s="58">
        <f>'Raw Data'!F78/I78</f>
        <v>0.34765300665234505</v>
      </c>
      <c r="K78" s="74">
        <f t="shared" si="6"/>
        <v>0.87261499266287157</v>
      </c>
      <c r="L78" s="59">
        <f>A78*Table!$AC$9/$AC$16</f>
        <v>73.504106656715336</v>
      </c>
      <c r="M78" s="59">
        <f>A78*Table!$AD$9/$AC$16</f>
        <v>25.201407996588117</v>
      </c>
      <c r="N78" s="59">
        <f>ABS(A78*Table!$AE$9/$AC$16)</f>
        <v>31.828211823598178</v>
      </c>
      <c r="O78" s="59">
        <f>($L78*(Table!$AC$10/Table!$AC$9)/(Table!$AC$12-Table!$AC$14))</f>
        <v>157.66646644512085</v>
      </c>
      <c r="P78" s="59">
        <f>ROUND(($N78*(Table!$AE$10/Table!$AE$9)/(Table!$AC$12-Table!$AC$13)),2)</f>
        <v>261.32</v>
      </c>
      <c r="Q78" s="59">
        <f>'Raw Data'!C78</f>
        <v>0.97360000000000002</v>
      </c>
      <c r="R78" s="59">
        <f>'Raw Data'!C78/'Raw Data'!I$30*100</f>
        <v>8.855768489429245</v>
      </c>
      <c r="S78" s="109">
        <f t="shared" si="7"/>
        <v>0.1350696547546941</v>
      </c>
      <c r="T78" s="109">
        <f t="shared" si="8"/>
        <v>1.2784743288480671E-2</v>
      </c>
      <c r="U78" s="77">
        <f t="shared" si="9"/>
        <v>2.7052253940561887E-2</v>
      </c>
      <c r="V78" s="77">
        <f t="shared" si="10"/>
        <v>0.89089995901696983</v>
      </c>
      <c r="W78" s="77">
        <f t="shared" si="11"/>
        <v>1.323534713070548E-3</v>
      </c>
      <c r="X78" s="86">
        <f t="shared" si="12"/>
        <v>0.47404215796310006</v>
      </c>
      <c r="AS78" s="118"/>
      <c r="AT78" s="118"/>
    </row>
    <row r="79" spans="1:46" x14ac:dyDescent="0.2">
      <c r="A79" s="59">
        <v>357.53256225585938</v>
      </c>
      <c r="B79" s="158">
        <v>0.60737580006095693</v>
      </c>
      <c r="C79" s="158">
        <f t="shared" si="1"/>
        <v>0.39262419993904307</v>
      </c>
      <c r="D79" s="60">
        <f t="shared" si="2"/>
        <v>1.3898201767753693E-2</v>
      </c>
      <c r="E79" s="58">
        <f>(2*Table!$AC$16*0.147)/A79</f>
        <v>0.25635451128396225</v>
      </c>
      <c r="F79" s="58">
        <f t="shared" si="3"/>
        <v>0.5127090225679245</v>
      </c>
      <c r="G79" s="59">
        <f>IF((('Raw Data'!C79)/('Raw Data'!C$136)*100)&lt;0,0,('Raw Data'!C79)/('Raw Data'!C$136)*100)</f>
        <v>60.737580006095691</v>
      </c>
      <c r="H79" s="59">
        <f t="shared" si="4"/>
        <v>1.3898201767753662</v>
      </c>
      <c r="I79" s="99">
        <f t="shared" si="5"/>
        <v>3.8292802250825431E-2</v>
      </c>
      <c r="J79" s="58">
        <f>'Raw Data'!F79/I79</f>
        <v>0.36294553939191293</v>
      </c>
      <c r="K79" s="74">
        <f t="shared" si="6"/>
        <v>0.95304953262160075</v>
      </c>
      <c r="L79" s="59">
        <f>A79*Table!$AC$9/$AC$16</f>
        <v>80.27945323421153</v>
      </c>
      <c r="M79" s="59">
        <f>A79*Table!$AD$9/$AC$16</f>
        <v>27.524383966015382</v>
      </c>
      <c r="N79" s="59">
        <f>ABS(A79*Table!$AE$9/$AC$16)</f>
        <v>34.762022951376004</v>
      </c>
      <c r="O79" s="59">
        <f>($L79*(Table!$AC$10/Table!$AC$9)/(Table!$AC$12-Table!$AC$14))</f>
        <v>172.19959938698315</v>
      </c>
      <c r="P79" s="59">
        <f>ROUND(($N79*(Table!$AE$10/Table!$AE$9)/(Table!$AC$12-Table!$AC$13)),2)</f>
        <v>285.39999999999998</v>
      </c>
      <c r="Q79" s="59">
        <f>'Raw Data'!C79</f>
        <v>0.99639999999999995</v>
      </c>
      <c r="R79" s="59">
        <f>'Raw Data'!C79/'Raw Data'!I$30*100</f>
        <v>9.0631550152704392</v>
      </c>
      <c r="S79" s="109">
        <f t="shared" si="7"/>
        <v>0.13809812235009053</v>
      </c>
      <c r="T79" s="109">
        <f t="shared" si="8"/>
        <v>1.0422228108440845E-2</v>
      </c>
      <c r="U79" s="77">
        <f t="shared" si="9"/>
        <v>2.5349173675500401E-2</v>
      </c>
      <c r="V79" s="77">
        <f t="shared" si="10"/>
        <v>0.79813378183708028</v>
      </c>
      <c r="W79" s="77">
        <f t="shared" si="11"/>
        <v>1.1344352577139375E-3</v>
      </c>
      <c r="X79" s="86">
        <f t="shared" si="12"/>
        <v>0.47517659322081401</v>
      </c>
      <c r="AS79" s="118"/>
      <c r="AT79" s="118"/>
    </row>
    <row r="80" spans="1:46" x14ac:dyDescent="0.2">
      <c r="A80" s="59">
        <v>391.70175170898437</v>
      </c>
      <c r="B80" s="158">
        <v>0.62054251752514478</v>
      </c>
      <c r="C80" s="158">
        <f t="shared" si="1"/>
        <v>0.37945748247485522</v>
      </c>
      <c r="D80" s="60">
        <f t="shared" si="2"/>
        <v>1.3166717464187849E-2</v>
      </c>
      <c r="E80" s="58">
        <f>(2*Table!$AC$16*0.147)/A80</f>
        <v>0.23399202292385707</v>
      </c>
      <c r="F80" s="58">
        <f t="shared" si="3"/>
        <v>0.46798404584771414</v>
      </c>
      <c r="G80" s="59">
        <f>IF((('Raw Data'!C80)/('Raw Data'!C$136)*100)&lt;0,0,('Raw Data'!C80)/('Raw Data'!C$136)*100)</f>
        <v>62.054251752514475</v>
      </c>
      <c r="H80" s="59">
        <f t="shared" si="4"/>
        <v>1.316671746418784</v>
      </c>
      <c r="I80" s="99">
        <f t="shared" si="5"/>
        <v>3.9639912456638782E-2</v>
      </c>
      <c r="J80" s="58">
        <f>'Raw Data'!F80/I80</f>
        <v>0.33215808633761812</v>
      </c>
      <c r="K80" s="74">
        <f t="shared" si="6"/>
        <v>1.0441319499345598</v>
      </c>
      <c r="L80" s="59">
        <f>A80*Table!$AC$9/$AC$16</f>
        <v>87.95171622879171</v>
      </c>
      <c r="M80" s="59">
        <f>A80*Table!$AD$9/$AC$16</f>
        <v>30.154874135585729</v>
      </c>
      <c r="N80" s="59">
        <f>ABS(A80*Table!$AE$9/$AC$16)</f>
        <v>38.084210280286854</v>
      </c>
      <c r="O80" s="59">
        <f>($L80*(Table!$AC$10/Table!$AC$9)/(Table!$AC$12-Table!$AC$14))</f>
        <v>188.65661996737819</v>
      </c>
      <c r="P80" s="59">
        <f>ROUND(($N80*(Table!$AE$10/Table!$AE$9)/(Table!$AC$12-Table!$AC$13)),2)</f>
        <v>312.68</v>
      </c>
      <c r="Q80" s="59">
        <f>'Raw Data'!C80</f>
        <v>1.018</v>
      </c>
      <c r="R80" s="59">
        <f>'Raw Data'!C80/'Raw Data'!I$30*100</f>
        <v>9.2596264608042027</v>
      </c>
      <c r="S80" s="109">
        <f t="shared" si="7"/>
        <v>0.13082980012113979</v>
      </c>
      <c r="T80" s="109">
        <f t="shared" si="8"/>
        <v>8.5575078591058062E-3</v>
      </c>
      <c r="U80" s="77">
        <f t="shared" si="9"/>
        <v>2.3639481877231076E-2</v>
      </c>
      <c r="V80" s="77">
        <f t="shared" si="10"/>
        <v>0.70924237461264528</v>
      </c>
      <c r="W80" s="77">
        <f t="shared" si="11"/>
        <v>8.9540351507206618E-4</v>
      </c>
      <c r="X80" s="86">
        <f t="shared" si="12"/>
        <v>0.47607199673588607</v>
      </c>
      <c r="AS80" s="118"/>
      <c r="AT80" s="118"/>
    </row>
    <row r="81" spans="1:46" x14ac:dyDescent="0.2">
      <c r="A81" s="59">
        <v>428.66647338867188</v>
      </c>
      <c r="B81" s="158">
        <v>0.63352636391344097</v>
      </c>
      <c r="C81" s="158">
        <f t="shared" si="1"/>
        <v>0.36647363608655903</v>
      </c>
      <c r="D81" s="60">
        <f t="shared" si="2"/>
        <v>1.2983846388296194E-2</v>
      </c>
      <c r="E81" s="58">
        <f>(2*Table!$AC$16*0.147)/A81</f>
        <v>0.21381444772355682</v>
      </c>
      <c r="F81" s="58">
        <f t="shared" si="3"/>
        <v>0.42762889544711363</v>
      </c>
      <c r="G81" s="59">
        <f>IF((('Raw Data'!C81)/('Raw Data'!C$136)*100)&lt;0,0,('Raw Data'!C81)/('Raw Data'!C$136)*100)</f>
        <v>63.352636391344099</v>
      </c>
      <c r="H81" s="59">
        <f t="shared" si="4"/>
        <v>1.2983846388296243</v>
      </c>
      <c r="I81" s="99">
        <f t="shared" si="5"/>
        <v>3.9164004315101142E-2</v>
      </c>
      <c r="J81" s="58">
        <f>'Raw Data'!F81/I81</f>
        <v>0.33152499636738597</v>
      </c>
      <c r="K81" s="74">
        <f t="shared" si="6"/>
        <v>1.1426662218846004</v>
      </c>
      <c r="L81" s="59">
        <f>A81*Table!$AC$9/$AC$16</f>
        <v>96.251680927605605</v>
      </c>
      <c r="M81" s="59">
        <f>A81*Table!$AD$9/$AC$16</f>
        <v>33.000576318036209</v>
      </c>
      <c r="N81" s="59">
        <f>ABS(A81*Table!$AE$9/$AC$16)</f>
        <v>41.678200420130302</v>
      </c>
      <c r="O81" s="59">
        <f>($L81*(Table!$AC$10/Table!$AC$9)/(Table!$AC$12-Table!$AC$14))</f>
        <v>206.46006204977607</v>
      </c>
      <c r="P81" s="59">
        <f>ROUND(($N81*(Table!$AE$10/Table!$AE$9)/(Table!$AC$12-Table!$AC$13)),2)</f>
        <v>342.19</v>
      </c>
      <c r="Q81" s="59">
        <f>'Raw Data'!C81</f>
        <v>1.0392999999999999</v>
      </c>
      <c r="R81" s="59">
        <f>'Raw Data'!C81/'Raw Data'!I$30*100</f>
        <v>9.4533691362611076</v>
      </c>
      <c r="S81" s="109">
        <f t="shared" si="7"/>
        <v>0.12901271956390017</v>
      </c>
      <c r="T81" s="109">
        <f t="shared" si="8"/>
        <v>7.0221432326779132E-3</v>
      </c>
      <c r="U81" s="77">
        <f t="shared" si="9"/>
        <v>2.2052970603301039E-2</v>
      </c>
      <c r="V81" s="77">
        <f t="shared" si="10"/>
        <v>0.63063164434765373</v>
      </c>
      <c r="W81" s="77">
        <f t="shared" si="11"/>
        <v>7.3725315307277179E-4</v>
      </c>
      <c r="X81" s="86">
        <f t="shared" si="12"/>
        <v>0.47680924988895884</v>
      </c>
      <c r="AS81" s="118"/>
      <c r="AT81" s="118"/>
    </row>
    <row r="82" spans="1:46" x14ac:dyDescent="0.2">
      <c r="A82" s="59">
        <v>469.22003173828125</v>
      </c>
      <c r="B82" s="158">
        <v>0.6458396830234685</v>
      </c>
      <c r="C82" s="158">
        <f t="shared" si="1"/>
        <v>0.3541603169765315</v>
      </c>
      <c r="D82" s="60">
        <f t="shared" si="2"/>
        <v>1.2313319110027532E-2</v>
      </c>
      <c r="E82" s="58">
        <f>(2*Table!$AC$16*0.147)/A82</f>
        <v>0.19533497946721606</v>
      </c>
      <c r="F82" s="58">
        <f t="shared" si="3"/>
        <v>0.39066995893443213</v>
      </c>
      <c r="G82" s="59">
        <f>IF((('Raw Data'!C82)/('Raw Data'!C$136)*100)&lt;0,0,('Raw Data'!C82)/('Raw Data'!C$136)*100)</f>
        <v>64.583968302346847</v>
      </c>
      <c r="H82" s="59">
        <f t="shared" si="4"/>
        <v>1.2313319110027479</v>
      </c>
      <c r="I82" s="99">
        <f t="shared" si="5"/>
        <v>3.9257026498087488E-2</v>
      </c>
      <c r="J82" s="58">
        <f>'Raw Data'!F82/I82</f>
        <v>0.31365898562458389</v>
      </c>
      <c r="K82" s="74">
        <f t="shared" si="6"/>
        <v>1.2507670046143688</v>
      </c>
      <c r="L82" s="59">
        <f>A82*Table!$AC$9/$AC$16</f>
        <v>105.3574738950124</v>
      </c>
      <c r="M82" s="59">
        <f>A82*Table!$AD$9/$AC$16</f>
        <v>36.122562478289964</v>
      </c>
      <c r="N82" s="59">
        <f>ABS(A82*Table!$AE$9/$AC$16)</f>
        <v>45.621124435818288</v>
      </c>
      <c r="O82" s="59">
        <f>($L82*(Table!$AC$10/Table!$AC$9)/(Table!$AC$12-Table!$AC$14))</f>
        <v>225.99200749680912</v>
      </c>
      <c r="P82" s="59">
        <f>ROUND(($N82*(Table!$AE$10/Table!$AE$9)/(Table!$AC$12-Table!$AC$13)),2)</f>
        <v>374.56</v>
      </c>
      <c r="Q82" s="59">
        <f>'Raw Data'!C82</f>
        <v>1.0595000000000001</v>
      </c>
      <c r="R82" s="59">
        <f>'Raw Data'!C82/'Raw Data'!I$30*100</f>
        <v>9.6371063214362014</v>
      </c>
      <c r="S82" s="109">
        <f t="shared" si="7"/>
        <v>0.12235009085402893</v>
      </c>
      <c r="T82" s="109">
        <f t="shared" si="8"/>
        <v>5.8068831202898741E-3</v>
      </c>
      <c r="U82" s="77">
        <f t="shared" si="9"/>
        <v>2.0538565426830559E-2</v>
      </c>
      <c r="V82" s="77">
        <f t="shared" si="10"/>
        <v>0.55915079230518339</v>
      </c>
      <c r="W82" s="77">
        <f t="shared" si="11"/>
        <v>5.8354499917463102E-4</v>
      </c>
      <c r="X82" s="86">
        <f t="shared" si="12"/>
        <v>0.47739279488813346</v>
      </c>
      <c r="AS82" s="118"/>
      <c r="AT82" s="118"/>
    </row>
    <row r="83" spans="1:46" x14ac:dyDescent="0.2">
      <c r="A83" s="59">
        <v>513.06890869140625</v>
      </c>
      <c r="B83" s="158">
        <v>0.65839683023468454</v>
      </c>
      <c r="C83" s="158">
        <f t="shared" si="1"/>
        <v>0.34160316976531546</v>
      </c>
      <c r="D83" s="60">
        <f t="shared" si="2"/>
        <v>1.2557147211216035E-2</v>
      </c>
      <c r="E83" s="58">
        <f>(2*Table!$AC$16*0.147)/A83</f>
        <v>0.17864088763236888</v>
      </c>
      <c r="F83" s="58">
        <f t="shared" si="3"/>
        <v>0.35728177526473776</v>
      </c>
      <c r="G83" s="59">
        <f>IF((('Raw Data'!C83)/('Raw Data'!C$136)*100)&lt;0,0,('Raw Data'!C83)/('Raw Data'!C$136)*100)</f>
        <v>65.839683023468453</v>
      </c>
      <c r="H83" s="59">
        <f t="shared" si="4"/>
        <v>1.2557147211216062</v>
      </c>
      <c r="I83" s="99">
        <f t="shared" si="5"/>
        <v>3.8799153220870575E-2</v>
      </c>
      <c r="J83" s="58">
        <f>'Raw Data'!F83/I83</f>
        <v>0.32364487801402275</v>
      </c>
      <c r="K83" s="74">
        <f t="shared" si="6"/>
        <v>1.3676518875533714</v>
      </c>
      <c r="L83" s="59">
        <f>A83*Table!$AC$9/$AC$16</f>
        <v>115.20318933005011</v>
      </c>
      <c r="M83" s="59">
        <f>A83*Table!$AD$9/$AC$16</f>
        <v>39.498236341731463</v>
      </c>
      <c r="N83" s="59">
        <f>ABS(A83*Table!$AE$9/$AC$16)</f>
        <v>49.884444278405887</v>
      </c>
      <c r="O83" s="59">
        <f>($L83*(Table!$AC$10/Table!$AC$9)/(Table!$AC$12-Table!$AC$14))</f>
        <v>247.11108822404574</v>
      </c>
      <c r="P83" s="59">
        <f>ROUND(($N83*(Table!$AE$10/Table!$AE$9)/(Table!$AC$12-Table!$AC$13)),2)</f>
        <v>409.56</v>
      </c>
      <c r="Q83" s="59">
        <f>'Raw Data'!C83</f>
        <v>1.0801000000000001</v>
      </c>
      <c r="R83" s="59">
        <f>'Raw Data'!C83/'Raw Data'!I$30*100</f>
        <v>9.8244818667137714</v>
      </c>
      <c r="S83" s="109">
        <f t="shared" si="7"/>
        <v>0.12477286493034474</v>
      </c>
      <c r="T83" s="109">
        <f t="shared" si="8"/>
        <v>4.7703413972258746E-3</v>
      </c>
      <c r="U83" s="77">
        <f t="shared" si="9"/>
        <v>1.9148464660958181E-2</v>
      </c>
      <c r="V83" s="77">
        <f t="shared" si="10"/>
        <v>0.4966625546236072</v>
      </c>
      <c r="W83" s="77">
        <f t="shared" si="11"/>
        <v>4.9772779733650715E-4</v>
      </c>
      <c r="X83" s="86">
        <f t="shared" si="12"/>
        <v>0.47789052268547</v>
      </c>
      <c r="AS83" s="118"/>
      <c r="AT83" s="118"/>
    </row>
    <row r="84" spans="1:46" x14ac:dyDescent="0.2">
      <c r="A84" s="59">
        <v>561.36602783203125</v>
      </c>
      <c r="B84" s="158">
        <v>0.67101493447119775</v>
      </c>
      <c r="C84" s="158">
        <f t="shared" si="1"/>
        <v>0.32898506552880225</v>
      </c>
      <c r="D84" s="60">
        <f t="shared" si="2"/>
        <v>1.2618104236513217E-2</v>
      </c>
      <c r="E84" s="58">
        <f>(2*Table!$AC$16*0.147)/A84</f>
        <v>0.16327152111283114</v>
      </c>
      <c r="F84" s="58">
        <f t="shared" si="3"/>
        <v>0.32654304222566227</v>
      </c>
      <c r="G84" s="59">
        <f>IF((('Raw Data'!C84)/('Raw Data'!C$136)*100)&lt;0,0,('Raw Data'!C84)/('Raw Data'!C$136)*100)</f>
        <v>67.101493447119779</v>
      </c>
      <c r="H84" s="59">
        <f t="shared" si="4"/>
        <v>1.2618104236513261</v>
      </c>
      <c r="I84" s="99">
        <f t="shared" si="5"/>
        <v>3.9070429137929796E-2</v>
      </c>
      <c r="J84" s="58">
        <f>'Raw Data'!F84/I84</f>
        <v>0.32295791254218625</v>
      </c>
      <c r="K84" s="74">
        <f t="shared" si="6"/>
        <v>1.4963941384228254</v>
      </c>
      <c r="L84" s="59">
        <f>A84*Table!$AC$9/$AC$16</f>
        <v>126.04770176531825</v>
      </c>
      <c r="M84" s="59">
        <f>A84*Table!$AD$9/$AC$16</f>
        <v>43.216354890966258</v>
      </c>
      <c r="N84" s="59">
        <f>ABS(A84*Table!$AE$9/$AC$16)</f>
        <v>54.580255908705119</v>
      </c>
      <c r="O84" s="59">
        <f>($L84*(Table!$AC$10/Table!$AC$9)/(Table!$AC$12-Table!$AC$14))</f>
        <v>270.37259065919835</v>
      </c>
      <c r="P84" s="59">
        <f>ROUND(($N84*(Table!$AE$10/Table!$AE$9)/(Table!$AC$12-Table!$AC$13)),2)</f>
        <v>448.11</v>
      </c>
      <c r="Q84" s="59">
        <f>'Raw Data'!C84</f>
        <v>1.1008</v>
      </c>
      <c r="R84" s="59">
        <f>'Raw Data'!C84/'Raw Data'!I$30*100</f>
        <v>10.012767002016961</v>
      </c>
      <c r="S84" s="109">
        <f t="shared" si="7"/>
        <v>0.12537855844942425</v>
      </c>
      <c r="T84" s="109">
        <f t="shared" si="8"/>
        <v>3.9002816937996343E-3</v>
      </c>
      <c r="U84" s="77">
        <f t="shared" si="9"/>
        <v>1.7836432034702542E-2</v>
      </c>
      <c r="V84" s="77">
        <f t="shared" si="10"/>
        <v>0.44048862256770044</v>
      </c>
      <c r="W84" s="77">
        <f t="shared" si="11"/>
        <v>4.1778626957487898E-4</v>
      </c>
      <c r="X84" s="86">
        <f t="shared" si="12"/>
        <v>0.47830830895504489</v>
      </c>
      <c r="AS84" s="118"/>
      <c r="AT84" s="118"/>
    </row>
    <row r="85" spans="1:46" x14ac:dyDescent="0.2">
      <c r="A85" s="59">
        <v>613.5567626953125</v>
      </c>
      <c r="B85" s="158">
        <v>0.68320633953063092</v>
      </c>
      <c r="C85" s="158">
        <f t="shared" si="1"/>
        <v>0.31679366046936908</v>
      </c>
      <c r="D85" s="60">
        <f t="shared" si="2"/>
        <v>1.2191405059433169E-2</v>
      </c>
      <c r="E85" s="58">
        <f>(2*Table!$AC$16*0.147)/A85</f>
        <v>0.14938322065356949</v>
      </c>
      <c r="F85" s="58">
        <f t="shared" si="3"/>
        <v>0.29876644130713897</v>
      </c>
      <c r="G85" s="59">
        <f>IF((('Raw Data'!C85)/('Raw Data'!C$136)*100)&lt;0,0,('Raw Data'!C85)/('Raw Data'!C$136)*100)</f>
        <v>68.320633953063094</v>
      </c>
      <c r="H85" s="59">
        <f t="shared" si="4"/>
        <v>1.2191405059433151</v>
      </c>
      <c r="I85" s="99">
        <f t="shared" si="5"/>
        <v>3.8608620405761518E-2</v>
      </c>
      <c r="J85" s="58">
        <f>'Raw Data'!F85/I85</f>
        <v>0.31576898970505202</v>
      </c>
      <c r="K85" s="74">
        <f t="shared" si="6"/>
        <v>1.6355153282657593</v>
      </c>
      <c r="L85" s="59">
        <f>A85*Table!$AC$9/$AC$16</f>
        <v>137.76647678340333</v>
      </c>
      <c r="M85" s="59">
        <f>A85*Table!$AD$9/$AC$16</f>
        <v>47.234220611452578</v>
      </c>
      <c r="N85" s="59">
        <f>ABS(A85*Table!$AE$9/$AC$16)</f>
        <v>59.654634342153194</v>
      </c>
      <c r="O85" s="59">
        <f>($L85*(Table!$AC$10/Table!$AC$9)/(Table!$AC$12-Table!$AC$14))</f>
        <v>295.50938820978837</v>
      </c>
      <c r="P85" s="59">
        <f>ROUND(($N85*(Table!$AE$10/Table!$AE$9)/(Table!$AC$12-Table!$AC$13)),2)</f>
        <v>489.78</v>
      </c>
      <c r="Q85" s="59">
        <f>'Raw Data'!C85</f>
        <v>1.1208</v>
      </c>
      <c r="R85" s="59">
        <f>'Raw Data'!C85/'Raw Data'!I$30*100</f>
        <v>10.194685007140816</v>
      </c>
      <c r="S85" s="109">
        <f t="shared" si="7"/>
        <v>0.12113870381586991</v>
      </c>
      <c r="T85" s="109">
        <f t="shared" si="8"/>
        <v>3.1965753529996643E-3</v>
      </c>
      <c r="U85" s="77">
        <f t="shared" si="9"/>
        <v>1.6615716143941219E-2</v>
      </c>
      <c r="V85" s="77">
        <f t="shared" si="10"/>
        <v>0.3907244903697869</v>
      </c>
      <c r="W85" s="77">
        <f t="shared" si="11"/>
        <v>3.3790652048505703E-4</v>
      </c>
      <c r="X85" s="86">
        <f t="shared" si="12"/>
        <v>0.47864621547552993</v>
      </c>
      <c r="AS85" s="118"/>
      <c r="AT85" s="118"/>
    </row>
    <row r="86" spans="1:46" x14ac:dyDescent="0.2">
      <c r="A86" s="59">
        <v>671.9100341796875</v>
      </c>
      <c r="B86" s="158">
        <v>0.69545870161536116</v>
      </c>
      <c r="C86" s="158">
        <f t="shared" si="1"/>
        <v>0.30454129838463884</v>
      </c>
      <c r="D86" s="60">
        <f t="shared" si="2"/>
        <v>1.2252362084730239E-2</v>
      </c>
      <c r="E86" s="58">
        <f>(2*Table!$AC$16*0.147)/A86</f>
        <v>0.13640975815624226</v>
      </c>
      <c r="F86" s="58">
        <f t="shared" si="3"/>
        <v>0.27281951631248452</v>
      </c>
      <c r="G86" s="59">
        <f>IF((('Raw Data'!C86)/('Raw Data'!C$136)*100)&lt;0,0,('Raw Data'!C86)/('Raw Data'!C$136)*100)</f>
        <v>69.545870161536115</v>
      </c>
      <c r="H86" s="59">
        <f t="shared" si="4"/>
        <v>1.2252362084730208</v>
      </c>
      <c r="I86" s="99">
        <f t="shared" si="5"/>
        <v>3.9456379495642735E-2</v>
      </c>
      <c r="J86" s="58">
        <f>'Raw Data'!F86/I86</f>
        <v>0.31052930454714678</v>
      </c>
      <c r="K86" s="74">
        <f t="shared" si="6"/>
        <v>1.7910635607518581</v>
      </c>
      <c r="L86" s="59">
        <f>A86*Table!$AC$9/$AC$16</f>
        <v>150.86897211875336</v>
      </c>
      <c r="M86" s="59">
        <f>A86*Table!$AD$9/$AC$16</f>
        <v>51.726504726429717</v>
      </c>
      <c r="N86" s="59">
        <f>ABS(A86*Table!$AE$9/$AC$16)</f>
        <v>65.328181248843293</v>
      </c>
      <c r="O86" s="59">
        <f>($L86*(Table!$AC$10/Table!$AC$9)/(Table!$AC$12-Table!$AC$14))</f>
        <v>323.61426880899478</v>
      </c>
      <c r="P86" s="59">
        <f>ROUND(($N86*(Table!$AE$10/Table!$AE$9)/(Table!$AC$12-Table!$AC$13)),2)</f>
        <v>536.36</v>
      </c>
      <c r="Q86" s="59">
        <f>'Raw Data'!C86</f>
        <v>1.1409</v>
      </c>
      <c r="R86" s="59">
        <f>'Raw Data'!C86/'Raw Data'!I$30*100</f>
        <v>10.37751260229029</v>
      </c>
      <c r="S86" s="109">
        <f t="shared" si="7"/>
        <v>0.12174439733494832</v>
      </c>
      <c r="T86" s="109">
        <f t="shared" si="8"/>
        <v>2.6068568328299069E-3</v>
      </c>
      <c r="U86" s="77">
        <f t="shared" si="9"/>
        <v>1.5444794800482253E-2</v>
      </c>
      <c r="V86" s="77">
        <f t="shared" si="10"/>
        <v>0.34530550244628105</v>
      </c>
      <c r="W86" s="77">
        <f t="shared" si="11"/>
        <v>2.8317171760820255E-4</v>
      </c>
      <c r="X86" s="86">
        <f t="shared" si="12"/>
        <v>0.47892938719313816</v>
      </c>
      <c r="AS86" s="118"/>
      <c r="AT86" s="118"/>
    </row>
    <row r="87" spans="1:46" x14ac:dyDescent="0.2">
      <c r="A87" s="59">
        <v>734.96923828125</v>
      </c>
      <c r="B87" s="158">
        <v>0.70740627857360561</v>
      </c>
      <c r="C87" s="158">
        <f t="shared" si="1"/>
        <v>0.29259372142639439</v>
      </c>
      <c r="D87" s="60">
        <f t="shared" si="2"/>
        <v>1.1947576958244444E-2</v>
      </c>
      <c r="E87" s="58">
        <f>(2*Table!$AC$16*0.147)/A87</f>
        <v>0.12470601555997378</v>
      </c>
      <c r="F87" s="58">
        <f t="shared" si="3"/>
        <v>0.24941203111994756</v>
      </c>
      <c r="G87" s="59">
        <f>IF((('Raw Data'!C87)/('Raw Data'!C$136)*100)&lt;0,0,('Raw Data'!C87)/('Raw Data'!C$136)*100)</f>
        <v>70.740627857360565</v>
      </c>
      <c r="H87" s="59">
        <f t="shared" si="4"/>
        <v>1.1947576958244497</v>
      </c>
      <c r="I87" s="99">
        <f t="shared" si="5"/>
        <v>3.8958035505147981E-2</v>
      </c>
      <c r="J87" s="58">
        <f>'Raw Data'!F87/I87</f>
        <v>0.30667811667930922</v>
      </c>
      <c r="K87" s="74">
        <f t="shared" si="6"/>
        <v>1.9591560685147629</v>
      </c>
      <c r="L87" s="59">
        <f>A87*Table!$AC$9/$AC$16</f>
        <v>165.02812560876535</v>
      </c>
      <c r="M87" s="59">
        <f>A87*Table!$AD$9/$AC$16</f>
        <v>56.581071637290982</v>
      </c>
      <c r="N87" s="59">
        <f>ABS(A87*Table!$AE$9/$AC$16)</f>
        <v>71.459274558060045</v>
      </c>
      <c r="O87" s="59">
        <f>($L87*(Table!$AC$10/Table!$AC$9)/(Table!$AC$12-Table!$AC$14))</f>
        <v>353.98568341648513</v>
      </c>
      <c r="P87" s="59">
        <f>ROUND(($N87*(Table!$AE$10/Table!$AE$9)/(Table!$AC$12-Table!$AC$13)),2)</f>
        <v>586.69000000000005</v>
      </c>
      <c r="Q87" s="59">
        <f>'Raw Data'!C87</f>
        <v>1.1605000000000001</v>
      </c>
      <c r="R87" s="59">
        <f>'Raw Data'!C87/'Raw Data'!I$30*100</f>
        <v>10.555792247311668</v>
      </c>
      <c r="S87" s="109">
        <f t="shared" si="7"/>
        <v>0.1187159297395519</v>
      </c>
      <c r="T87" s="109">
        <f t="shared" si="8"/>
        <v>2.1262513621979062E-3</v>
      </c>
      <c r="U87" s="77">
        <f t="shared" si="9"/>
        <v>1.4362223202697217E-2</v>
      </c>
      <c r="V87" s="77">
        <f t="shared" si="10"/>
        <v>0.30537588787937464</v>
      </c>
      <c r="W87" s="77">
        <f t="shared" si="11"/>
        <v>2.3077768792409978E-4</v>
      </c>
      <c r="X87" s="86">
        <f t="shared" si="12"/>
        <v>0.47916016488106228</v>
      </c>
      <c r="AS87" s="118"/>
      <c r="AT87" s="118"/>
    </row>
    <row r="88" spans="1:46" x14ac:dyDescent="0.2">
      <c r="A88" s="59">
        <v>804.43756103515625</v>
      </c>
      <c r="B88" s="158">
        <v>0.71868332825358128</v>
      </c>
      <c r="C88" s="158">
        <f t="shared" si="1"/>
        <v>0.28131667174641872</v>
      </c>
      <c r="D88" s="60">
        <f t="shared" si="2"/>
        <v>1.127704967997567E-2</v>
      </c>
      <c r="E88" s="58">
        <f>(2*Table!$AC$16*0.147)/A88</f>
        <v>0.11393685439956483</v>
      </c>
      <c r="F88" s="58">
        <f t="shared" si="3"/>
        <v>0.22787370879912966</v>
      </c>
      <c r="G88" s="59">
        <f>IF((('Raw Data'!C88)/('Raw Data'!C$136)*100)&lt;0,0,('Raw Data'!C88)/('Raw Data'!C$136)*100)</f>
        <v>71.868332825358124</v>
      </c>
      <c r="H88" s="59">
        <f t="shared" si="4"/>
        <v>1.127704967997559</v>
      </c>
      <c r="I88" s="99">
        <f t="shared" si="5"/>
        <v>3.9223178287334015E-2</v>
      </c>
      <c r="J88" s="58">
        <f>'Raw Data'!F88/I88</f>
        <v>0.28750983914063044</v>
      </c>
      <c r="K88" s="74">
        <f t="shared" si="6"/>
        <v>2.1443329153867903</v>
      </c>
      <c r="L88" s="59">
        <f>A88*Table!$AC$9/$AC$16</f>
        <v>180.62636631890905</v>
      </c>
      <c r="M88" s="59">
        <f>A88*Table!$AD$9/$AC$16</f>
        <v>61.929039880768819</v>
      </c>
      <c r="N88" s="59">
        <f>ABS(A88*Table!$AE$9/$AC$16)</f>
        <v>78.213510912724573</v>
      </c>
      <c r="O88" s="59">
        <f>($L88*(Table!$AC$10/Table!$AC$9)/(Table!$AC$12-Table!$AC$14))</f>
        <v>387.44394319800318</v>
      </c>
      <c r="P88" s="59">
        <f>ROUND(($N88*(Table!$AE$10/Table!$AE$9)/(Table!$AC$12-Table!$AC$13)),2)</f>
        <v>642.15</v>
      </c>
      <c r="Q88" s="59">
        <f>'Raw Data'!C88</f>
        <v>1.179</v>
      </c>
      <c r="R88" s="59">
        <f>'Raw Data'!C88/'Raw Data'!I$30*100</f>
        <v>10.724066402051232</v>
      </c>
      <c r="S88" s="109">
        <f t="shared" si="7"/>
        <v>0.11205330102967957</v>
      </c>
      <c r="T88" s="109">
        <f t="shared" si="8"/>
        <v>1.7475838813418854E-3</v>
      </c>
      <c r="U88" s="77">
        <f t="shared" si="9"/>
        <v>1.3331135841359053E-2</v>
      </c>
      <c r="V88" s="77">
        <f t="shared" si="10"/>
        <v>0.2692298769954708</v>
      </c>
      <c r="W88" s="77">
        <f t="shared" si="11"/>
        <v>1.8182898669265031E-4</v>
      </c>
      <c r="X88" s="86">
        <f t="shared" si="12"/>
        <v>0.47934199386775495</v>
      </c>
      <c r="AS88" s="118"/>
      <c r="AT88" s="118"/>
    </row>
    <row r="89" spans="1:46" x14ac:dyDescent="0.2">
      <c r="A89" s="59">
        <v>879.293212890625</v>
      </c>
      <c r="B89" s="158">
        <v>0.72996037793355684</v>
      </c>
      <c r="C89" s="158">
        <f t="shared" si="1"/>
        <v>0.27003962206644316</v>
      </c>
      <c r="D89" s="60">
        <f t="shared" si="2"/>
        <v>1.1277049679975559E-2</v>
      </c>
      <c r="E89" s="58">
        <f>(2*Table!$AC$16*0.147)/A89</f>
        <v>0.10423722590089478</v>
      </c>
      <c r="F89" s="58">
        <f t="shared" si="3"/>
        <v>0.20847445180178956</v>
      </c>
      <c r="G89" s="59">
        <f>IF((('Raw Data'!C89)/('Raw Data'!C$136)*100)&lt;0,0,('Raw Data'!C89)/('Raw Data'!C$136)*100)</f>
        <v>72.996037793355683</v>
      </c>
      <c r="H89" s="59">
        <f t="shared" si="4"/>
        <v>1.127704967997559</v>
      </c>
      <c r="I89" s="99">
        <f t="shared" si="5"/>
        <v>3.8641380324657693E-2</v>
      </c>
      <c r="J89" s="58">
        <f>'Raw Data'!F89/I89</f>
        <v>0.29183868653831424</v>
      </c>
      <c r="K89" s="74">
        <f t="shared" si="6"/>
        <v>2.3438703884628405</v>
      </c>
      <c r="L89" s="59">
        <f>A89*Table!$AC$9/$AC$16</f>
        <v>197.43426421926046</v>
      </c>
      <c r="M89" s="59">
        <f>A89*Table!$AD$9/$AC$16</f>
        <v>67.691747732317879</v>
      </c>
      <c r="N89" s="59">
        <f>ABS(A89*Table!$AE$9/$AC$16)</f>
        <v>85.491544195684313</v>
      </c>
      <c r="O89" s="59">
        <f>($L89*(Table!$AC$10/Table!$AC$9)/(Table!$AC$12-Table!$AC$14))</f>
        <v>423.49692024723402</v>
      </c>
      <c r="P89" s="59">
        <f>ROUND(($N89*(Table!$AE$10/Table!$AE$9)/(Table!$AC$12-Table!$AC$13)),2)</f>
        <v>701.9</v>
      </c>
      <c r="Q89" s="59">
        <f>'Raw Data'!C89</f>
        <v>1.1975</v>
      </c>
      <c r="R89" s="59">
        <f>'Raw Data'!C89/'Raw Data'!I$30*100</f>
        <v>10.892340556790799</v>
      </c>
      <c r="S89" s="109">
        <f t="shared" si="7"/>
        <v>0.11205330102967846</v>
      </c>
      <c r="T89" s="109">
        <f t="shared" si="8"/>
        <v>1.4306451977091905E-3</v>
      </c>
      <c r="U89" s="77">
        <f t="shared" si="9"/>
        <v>1.2387609044522097E-2</v>
      </c>
      <c r="V89" s="77">
        <f t="shared" si="10"/>
        <v>0.23780158342559435</v>
      </c>
      <c r="W89" s="77">
        <f t="shared" si="11"/>
        <v>1.5218798181027498E-4</v>
      </c>
      <c r="X89" s="86">
        <f t="shared" si="12"/>
        <v>0.47949418184956522</v>
      </c>
      <c r="AS89" s="118"/>
      <c r="AT89" s="118"/>
    </row>
    <row r="90" spans="1:46" x14ac:dyDescent="0.2">
      <c r="A90" s="59">
        <v>962.67474365234375</v>
      </c>
      <c r="B90" s="158">
        <v>0.74111551356293814</v>
      </c>
      <c r="C90" s="158">
        <f t="shared" si="1"/>
        <v>0.25888448643706186</v>
      </c>
      <c r="D90" s="60">
        <f t="shared" si="2"/>
        <v>1.1155135629381308E-2</v>
      </c>
      <c r="E90" s="58">
        <f>(2*Table!$AC$16*0.147)/A90</f>
        <v>9.5208777283871032E-2</v>
      </c>
      <c r="F90" s="58">
        <f t="shared" si="3"/>
        <v>0.19041755456774206</v>
      </c>
      <c r="G90" s="59">
        <f>IF((('Raw Data'!C90)/('Raw Data'!C$136)*100)&lt;0,0,('Raw Data'!C90)/('Raw Data'!C$136)*100)</f>
        <v>74.111551356293816</v>
      </c>
      <c r="H90" s="59">
        <f t="shared" si="4"/>
        <v>1.1155135629381334</v>
      </c>
      <c r="I90" s="99">
        <f t="shared" si="5"/>
        <v>3.934585706069782E-2</v>
      </c>
      <c r="J90" s="58">
        <f>'Raw Data'!F90/I90</f>
        <v>0.28351487202763365</v>
      </c>
      <c r="K90" s="74">
        <f t="shared" si="6"/>
        <v>2.5661347003351147</v>
      </c>
      <c r="L90" s="59">
        <f>A90*Table!$AC$9/$AC$16</f>
        <v>216.15654130962545</v>
      </c>
      <c r="M90" s="59">
        <f>A90*Table!$AD$9/$AC$16</f>
        <v>74.110814163300162</v>
      </c>
      <c r="N90" s="59">
        <f>ABS(A90*Table!$AE$9/$AC$16)</f>
        <v>93.598527984158039</v>
      </c>
      <c r="O90" s="59">
        <f>($L90*(Table!$AC$10/Table!$AC$9)/(Table!$AC$12-Table!$AC$14))</f>
        <v>463.65624476539136</v>
      </c>
      <c r="P90" s="59">
        <f>ROUND(($N90*(Table!$AE$10/Table!$AE$9)/(Table!$AC$12-Table!$AC$13)),2)</f>
        <v>768.46</v>
      </c>
      <c r="Q90" s="59">
        <f>'Raw Data'!C90</f>
        <v>1.2158</v>
      </c>
      <c r="R90" s="59">
        <f>'Raw Data'!C90/'Raw Data'!I$30*100</f>
        <v>11.058795531479126</v>
      </c>
      <c r="S90" s="109">
        <f t="shared" si="7"/>
        <v>0.11084191399152056</v>
      </c>
      <c r="T90" s="109">
        <f t="shared" si="8"/>
        <v>1.1690902757600652E-3</v>
      </c>
      <c r="U90" s="77">
        <f t="shared" si="9"/>
        <v>1.1487572105114717E-2</v>
      </c>
      <c r="V90" s="77">
        <f t="shared" si="10"/>
        <v>0.20932392381757919</v>
      </c>
      <c r="W90" s="77">
        <f t="shared" si="11"/>
        <v>1.2559374339459641E-4</v>
      </c>
      <c r="X90" s="86">
        <f t="shared" si="12"/>
        <v>0.47961977559295982</v>
      </c>
      <c r="AS90" s="118"/>
      <c r="AT90" s="118"/>
    </row>
    <row r="91" spans="1:46" x14ac:dyDescent="0.2">
      <c r="A91" s="59">
        <v>1048.8294677734375</v>
      </c>
      <c r="B91" s="158">
        <v>0.75172203596464493</v>
      </c>
      <c r="C91" s="158">
        <f t="shared" si="1"/>
        <v>0.24827796403535507</v>
      </c>
      <c r="D91" s="60">
        <f t="shared" si="2"/>
        <v>1.0606522401706786E-2</v>
      </c>
      <c r="E91" s="58">
        <f>(2*Table!$AC$16*0.147)/A91</f>
        <v>8.7387976865084108E-2</v>
      </c>
      <c r="F91" s="58">
        <f t="shared" si="3"/>
        <v>0.17477595373016822</v>
      </c>
      <c r="G91" s="59">
        <f>IF((('Raw Data'!C91)/('Raw Data'!C$136)*100)&lt;0,0,('Raw Data'!C91)/('Raw Data'!C$136)*100)</f>
        <v>75.172203596464499</v>
      </c>
      <c r="H91" s="59">
        <f t="shared" si="4"/>
        <v>1.0606522401706826</v>
      </c>
      <c r="I91" s="99">
        <f t="shared" si="5"/>
        <v>3.7225302744377631E-2</v>
      </c>
      <c r="J91" s="58">
        <f>'Raw Data'!F91/I91</f>
        <v>0.2849277673989839</v>
      </c>
      <c r="K91" s="74">
        <f t="shared" si="6"/>
        <v>2.7957913196893864</v>
      </c>
      <c r="L91" s="59">
        <f>A91*Table!$AC$9/$AC$16</f>
        <v>235.50150419173676</v>
      </c>
      <c r="M91" s="59">
        <f>A91*Table!$AD$9/$AC$16</f>
        <v>80.743372865738309</v>
      </c>
      <c r="N91" s="59">
        <f>ABS(A91*Table!$AE$9/$AC$16)</f>
        <v>101.97514262974576</v>
      </c>
      <c r="O91" s="59">
        <f>($L91*(Table!$AC$10/Table!$AC$9)/(Table!$AC$12-Table!$AC$14))</f>
        <v>505.15123164250707</v>
      </c>
      <c r="P91" s="59">
        <f>ROUND(($N91*(Table!$AE$10/Table!$AE$9)/(Table!$AC$12-Table!$AC$13)),2)</f>
        <v>837.23</v>
      </c>
      <c r="Q91" s="59">
        <f>'Raw Data'!C91</f>
        <v>1.2332000000000001</v>
      </c>
      <c r="R91" s="59">
        <f>'Raw Data'!C91/'Raw Data'!I$30*100</f>
        <v>11.21706419593688</v>
      </c>
      <c r="S91" s="109">
        <f t="shared" si="7"/>
        <v>0.10539067231980613</v>
      </c>
      <c r="T91" s="109">
        <f t="shared" si="8"/>
        <v>9.5957752925079909E-4</v>
      </c>
      <c r="U91" s="77">
        <f t="shared" si="9"/>
        <v>1.0694840811204143E-2</v>
      </c>
      <c r="V91" s="77">
        <f t="shared" si="10"/>
        <v>0.18548409638699462</v>
      </c>
      <c r="W91" s="77">
        <f t="shared" si="11"/>
        <v>1.0060407170651197E-4</v>
      </c>
      <c r="X91" s="86">
        <f t="shared" si="12"/>
        <v>0.47972037966466635</v>
      </c>
      <c r="AS91" s="118"/>
      <c r="AT91" s="118"/>
    </row>
    <row r="92" spans="1:46" x14ac:dyDescent="0.2">
      <c r="A92" s="59">
        <v>1148.3460693359375</v>
      </c>
      <c r="B92" s="158">
        <v>0.76275525754343187</v>
      </c>
      <c r="C92" s="158">
        <f t="shared" si="1"/>
        <v>0.23724474245656813</v>
      </c>
      <c r="D92" s="60">
        <f t="shared" si="2"/>
        <v>1.1033221578786945E-2</v>
      </c>
      <c r="E92" s="58">
        <f>(2*Table!$AC$16*0.147)/A92</f>
        <v>7.9814863927043955E-2</v>
      </c>
      <c r="F92" s="58">
        <f t="shared" si="3"/>
        <v>0.15962972785408791</v>
      </c>
      <c r="G92" s="59">
        <f>IF((('Raw Data'!C92)/('Raw Data'!C$136)*100)&lt;0,0,('Raw Data'!C92)/('Raw Data'!C$136)*100)</f>
        <v>76.275525754343192</v>
      </c>
      <c r="H92" s="59">
        <f t="shared" si="4"/>
        <v>1.1033221578786936</v>
      </c>
      <c r="I92" s="99">
        <f t="shared" si="5"/>
        <v>3.9367907462423357E-2</v>
      </c>
      <c r="J92" s="58">
        <f>'Raw Data'!F92/I92</f>
        <v>0.28025928452809301</v>
      </c>
      <c r="K92" s="74">
        <f t="shared" si="6"/>
        <v>3.0610657607327671</v>
      </c>
      <c r="L92" s="59">
        <f>A92*Table!$AC$9/$AC$16</f>
        <v>257.84670908931793</v>
      </c>
      <c r="M92" s="59">
        <f>A92*Table!$AD$9/$AC$16</f>
        <v>88.404585973480437</v>
      </c>
      <c r="N92" s="59">
        <f>ABS(A92*Table!$AE$9/$AC$16)</f>
        <v>111.65090017678263</v>
      </c>
      <c r="O92" s="59">
        <f>($L92*(Table!$AC$10/Table!$AC$9)/(Table!$AC$12-Table!$AC$14))</f>
        <v>553.0817440783311</v>
      </c>
      <c r="P92" s="59">
        <f>ROUND(($N92*(Table!$AE$10/Table!$AE$9)/(Table!$AC$12-Table!$AC$13)),2)</f>
        <v>916.67</v>
      </c>
      <c r="Q92" s="59">
        <f>'Raw Data'!C92</f>
        <v>1.2513000000000001</v>
      </c>
      <c r="R92" s="59">
        <f>'Raw Data'!C92/'Raw Data'!I$30*100</f>
        <v>11.381699990573967</v>
      </c>
      <c r="S92" s="109">
        <f t="shared" si="7"/>
        <v>0.10963052695336155</v>
      </c>
      <c r="T92" s="109">
        <f t="shared" si="8"/>
        <v>7.7777330842143666E-4</v>
      </c>
      <c r="U92" s="77">
        <f t="shared" si="9"/>
        <v>9.911384986196493E-3</v>
      </c>
      <c r="V92" s="77">
        <f t="shared" si="10"/>
        <v>0.16309328272434051</v>
      </c>
      <c r="W92" s="77">
        <f t="shared" si="11"/>
        <v>8.7298959961262083E-5</v>
      </c>
      <c r="X92" s="86">
        <f t="shared" si="12"/>
        <v>0.47980767862462759</v>
      </c>
      <c r="AS92" s="118"/>
      <c r="AT92" s="118"/>
    </row>
    <row r="93" spans="1:46" x14ac:dyDescent="0.2">
      <c r="A93" s="59">
        <v>1259.0491943359375</v>
      </c>
      <c r="B93" s="158">
        <v>0.77354465102103009</v>
      </c>
      <c r="C93" s="158">
        <f t="shared" si="1"/>
        <v>0.22645534897896991</v>
      </c>
      <c r="D93" s="60">
        <f t="shared" si="2"/>
        <v>1.0789393477598219E-2</v>
      </c>
      <c r="E93" s="58">
        <f>(2*Table!$AC$16*0.147)/A93</f>
        <v>7.2797064385991234E-2</v>
      </c>
      <c r="F93" s="58">
        <f t="shared" si="3"/>
        <v>0.14559412877198247</v>
      </c>
      <c r="G93" s="59">
        <f>IF((('Raw Data'!C93)/('Raw Data'!C$136)*100)&lt;0,0,('Raw Data'!C93)/('Raw Data'!C$136)*100)</f>
        <v>77.354465102103006</v>
      </c>
      <c r="H93" s="59">
        <f t="shared" si="4"/>
        <v>1.0789393477598139</v>
      </c>
      <c r="I93" s="99">
        <f t="shared" si="5"/>
        <v>3.9969911261586555E-2</v>
      </c>
      <c r="J93" s="58">
        <f>'Raw Data'!F93/I93</f>
        <v>0.26993788920335843</v>
      </c>
      <c r="K93" s="74">
        <f t="shared" si="6"/>
        <v>3.3561593345189165</v>
      </c>
      <c r="L93" s="59">
        <f>A93*Table!$AC$9/$AC$16</f>
        <v>282.70370754071683</v>
      </c>
      <c r="M93" s="59">
        <f>A93*Table!$AD$9/$AC$16</f>
        <v>96.926985442531489</v>
      </c>
      <c r="N93" s="59">
        <f>ABS(A93*Table!$AE$9/$AC$16)</f>
        <v>122.41429623715358</v>
      </c>
      <c r="O93" s="59">
        <f>($L93*(Table!$AC$10/Table!$AC$9)/(Table!$AC$12-Table!$AC$14))</f>
        <v>606.40005907489672</v>
      </c>
      <c r="P93" s="59">
        <f>ROUND(($N93*(Table!$AE$10/Table!$AE$9)/(Table!$AC$12-Table!$AC$13)),2)</f>
        <v>1005.04</v>
      </c>
      <c r="Q93" s="59">
        <f>'Raw Data'!C93</f>
        <v>1.2689999999999999</v>
      </c>
      <c r="R93" s="59">
        <f>'Raw Data'!C93/'Raw Data'!I$30*100</f>
        <v>11.542697425108578</v>
      </c>
      <c r="S93" s="109">
        <f t="shared" si="7"/>
        <v>0.10720775287704354</v>
      </c>
      <c r="T93" s="109">
        <f t="shared" si="8"/>
        <v>6.2987649026780002E-4</v>
      </c>
      <c r="U93" s="77">
        <f t="shared" si="9"/>
        <v>9.1677890562461804E-3</v>
      </c>
      <c r="V93" s="77">
        <f t="shared" si="10"/>
        <v>0.14294282290373525</v>
      </c>
      <c r="W93" s="77">
        <f t="shared" si="11"/>
        <v>7.1017264326893342E-5</v>
      </c>
      <c r="X93" s="86">
        <f t="shared" si="12"/>
        <v>0.47987869588895449</v>
      </c>
      <c r="AS93" s="118"/>
      <c r="AT93" s="118"/>
    </row>
    <row r="94" spans="1:46" x14ac:dyDescent="0.2">
      <c r="A94" s="59">
        <v>1378.9620361328125</v>
      </c>
      <c r="B94" s="158">
        <v>0.78421213044803406</v>
      </c>
      <c r="C94" s="158">
        <f t="shared" si="1"/>
        <v>0.21578786955196594</v>
      </c>
      <c r="D94" s="60">
        <f t="shared" si="2"/>
        <v>1.0667479427003967E-2</v>
      </c>
      <c r="E94" s="58">
        <f>(2*Table!$AC$16*0.147)/A94</f>
        <v>6.6466721246542015E-2</v>
      </c>
      <c r="F94" s="58">
        <f t="shared" si="3"/>
        <v>0.13293344249308403</v>
      </c>
      <c r="G94" s="59">
        <f>IF((('Raw Data'!C94)/('Raw Data'!C$136)*100)&lt;0,0,('Raw Data'!C94)/('Raw Data'!C$136)*100)</f>
        <v>78.421213044803409</v>
      </c>
      <c r="H94" s="59">
        <f t="shared" si="4"/>
        <v>1.0667479427004025</v>
      </c>
      <c r="I94" s="99">
        <f t="shared" si="5"/>
        <v>3.9509610427529873E-2</v>
      </c>
      <c r="J94" s="58">
        <f>'Raw Data'!F94/I94</f>
        <v>0.26999707948451401</v>
      </c>
      <c r="K94" s="74">
        <f t="shared" si="6"/>
        <v>3.675802605914309</v>
      </c>
      <c r="L94" s="59">
        <f>A94*Table!$AC$9/$AC$16</f>
        <v>309.6286324048321</v>
      </c>
      <c r="M94" s="59">
        <f>A94*Table!$AD$9/$AC$16</f>
        <v>106.15838825308529</v>
      </c>
      <c r="N94" s="59">
        <f>ABS(A94*Table!$AE$9/$AC$16)</f>
        <v>134.07313070080914</v>
      </c>
      <c r="O94" s="59">
        <f>($L94*(Table!$AC$10/Table!$AC$9)/(Table!$AC$12-Table!$AC$14))</f>
        <v>664.15408066244561</v>
      </c>
      <c r="P94" s="59">
        <f>ROUND(($N94*(Table!$AE$10/Table!$AE$9)/(Table!$AC$12-Table!$AC$13)),2)</f>
        <v>1100.76</v>
      </c>
      <c r="Q94" s="59">
        <f>'Raw Data'!C94</f>
        <v>1.2865</v>
      </c>
      <c r="R94" s="59">
        <f>'Raw Data'!C94/'Raw Data'!I$30*100</f>
        <v>11.701875679591952</v>
      </c>
      <c r="S94" s="109">
        <f t="shared" si="7"/>
        <v>0.10599636583888562</v>
      </c>
      <c r="T94" s="109">
        <f t="shared" si="8"/>
        <v>5.0797629756216267E-4</v>
      </c>
      <c r="U94" s="77">
        <f t="shared" si="9"/>
        <v>8.486002785405837E-3</v>
      </c>
      <c r="V94" s="77">
        <f t="shared" si="10"/>
        <v>0.12543246471466518</v>
      </c>
      <c r="W94" s="77">
        <f t="shared" si="11"/>
        <v>5.8534174804774889E-5</v>
      </c>
      <c r="X94" s="86">
        <f t="shared" si="12"/>
        <v>0.47993723006375927</v>
      </c>
      <c r="AS94" s="118"/>
      <c r="AT94" s="118"/>
    </row>
    <row r="95" spans="1:46" x14ac:dyDescent="0.2">
      <c r="A95" s="59">
        <v>1508.8658447265625</v>
      </c>
      <c r="B95" s="158">
        <v>0.79396525449558053</v>
      </c>
      <c r="C95" s="158">
        <f t="shared" si="1"/>
        <v>0.20603474550441947</v>
      </c>
      <c r="D95" s="60">
        <f t="shared" si="2"/>
        <v>9.7531240475464687E-3</v>
      </c>
      <c r="E95" s="58">
        <f>(2*Table!$AC$16*0.147)/A95</f>
        <v>6.0744356819749885E-2</v>
      </c>
      <c r="F95" s="58">
        <f t="shared" si="3"/>
        <v>0.12148871363949977</v>
      </c>
      <c r="G95" s="59">
        <f>IF((('Raw Data'!C95)/('Raw Data'!C$136)*100)&lt;0,0,('Raw Data'!C95)/('Raw Data'!C$136)*100)</f>
        <v>79.396525449558055</v>
      </c>
      <c r="H95" s="59">
        <f t="shared" si="4"/>
        <v>0.97531240475464642</v>
      </c>
      <c r="I95" s="99">
        <f t="shared" si="5"/>
        <v>3.9098317905754687E-2</v>
      </c>
      <c r="J95" s="58">
        <f>'Raw Data'!F95/I95</f>
        <v>0.2494512441956219</v>
      </c>
      <c r="K95" s="74">
        <f t="shared" si="6"/>
        <v>4.0220780983754443</v>
      </c>
      <c r="L95" s="59">
        <f>A95*Table!$AC$9/$AC$16</f>
        <v>338.79690357193476</v>
      </c>
      <c r="M95" s="59">
        <f>A95*Table!$AD$9/$AC$16</f>
        <v>116.15893836752049</v>
      </c>
      <c r="N95" s="59">
        <f>ABS(A95*Table!$AE$9/$AC$16)</f>
        <v>146.70336260840116</v>
      </c>
      <c r="O95" s="59">
        <f>($L95*(Table!$AC$10/Table!$AC$9)/(Table!$AC$12-Table!$AC$14))</f>
        <v>726.72008488188499</v>
      </c>
      <c r="P95" s="59">
        <f>ROUND(($N95*(Table!$AE$10/Table!$AE$9)/(Table!$AC$12-Table!$AC$13)),2)</f>
        <v>1204.46</v>
      </c>
      <c r="Q95" s="59">
        <f>'Raw Data'!C95</f>
        <v>1.3025</v>
      </c>
      <c r="R95" s="59">
        <f>'Raw Data'!C95/'Raw Data'!I$30*100</f>
        <v>11.847410083691035</v>
      </c>
      <c r="S95" s="109">
        <f t="shared" si="7"/>
        <v>9.6910963052695268E-2</v>
      </c>
      <c r="T95" s="109">
        <f t="shared" si="8"/>
        <v>4.148891569101254E-4</v>
      </c>
      <c r="U95" s="77">
        <f t="shared" si="9"/>
        <v>7.8518644484513664E-3</v>
      </c>
      <c r="V95" s="77">
        <f t="shared" si="10"/>
        <v>0.10999473291027673</v>
      </c>
      <c r="W95" s="77">
        <f t="shared" si="11"/>
        <v>4.4698690314295477E-5</v>
      </c>
      <c r="X95" s="86">
        <f t="shared" si="12"/>
        <v>0.47998192875407358</v>
      </c>
      <c r="Z95" s="54"/>
      <c r="AS95" s="118"/>
      <c r="AT95" s="118"/>
    </row>
    <row r="96" spans="1:46" x14ac:dyDescent="0.2">
      <c r="A96" s="59">
        <v>1646.962646484375</v>
      </c>
      <c r="B96" s="158">
        <v>0.80341359341664131</v>
      </c>
      <c r="C96" s="158">
        <f t="shared" si="1"/>
        <v>0.19658640658335869</v>
      </c>
      <c r="D96" s="60">
        <f t="shared" si="2"/>
        <v>9.4483389210607838E-3</v>
      </c>
      <c r="E96" s="58">
        <f>(2*Table!$AC$16*0.147)/A96</f>
        <v>5.5650979978721204E-2</v>
      </c>
      <c r="F96" s="58">
        <f t="shared" si="3"/>
        <v>0.11130195995744241</v>
      </c>
      <c r="G96" s="59">
        <f>IF((('Raw Data'!C96)/('Raw Data'!C$136)*100)&lt;0,0,('Raw Data'!C96)/('Raw Data'!C$136)*100)</f>
        <v>80.341359341664131</v>
      </c>
      <c r="H96" s="59">
        <f t="shared" si="4"/>
        <v>0.94483389210607527</v>
      </c>
      <c r="I96" s="99">
        <f t="shared" si="5"/>
        <v>3.803312158556138E-2</v>
      </c>
      <c r="J96" s="58">
        <f>'Raw Data'!F96/I96</f>
        <v>0.24842396645790135</v>
      </c>
      <c r="K96" s="74">
        <f t="shared" si="6"/>
        <v>4.3901930794037609</v>
      </c>
      <c r="L96" s="59">
        <f>A96*Table!$AC$9/$AC$16</f>
        <v>369.80480861018083</v>
      </c>
      <c r="M96" s="59">
        <f>A96*Table!$AD$9/$AC$16</f>
        <v>126.79022009491915</v>
      </c>
      <c r="N96" s="59">
        <f>ABS(A96*Table!$AE$9/$AC$16)</f>
        <v>160.13017934902948</v>
      </c>
      <c r="O96" s="59">
        <f>($L96*(Table!$AC$10/Table!$AC$9)/(Table!$AC$12-Table!$AC$14))</f>
        <v>793.23210770094568</v>
      </c>
      <c r="P96" s="59">
        <f>ROUND(($N96*(Table!$AE$10/Table!$AE$9)/(Table!$AC$12-Table!$AC$13)),2)</f>
        <v>1314.7</v>
      </c>
      <c r="Q96" s="59">
        <f>'Raw Data'!C96</f>
        <v>1.3180000000000001</v>
      </c>
      <c r="R96" s="59">
        <f>'Raw Data'!C96/'Raw Data'!I$30*100</f>
        <v>11.988396537662023</v>
      </c>
      <c r="S96" s="109">
        <f t="shared" si="7"/>
        <v>9.3882495457299958E-2</v>
      </c>
      <c r="T96" s="109">
        <f t="shared" si="8"/>
        <v>3.3919973945883974E-4</v>
      </c>
      <c r="U96" s="77">
        <f t="shared" si="9"/>
        <v>7.2790943760944358E-3</v>
      </c>
      <c r="V96" s="77">
        <f t="shared" si="10"/>
        <v>9.6771103823944896E-2</v>
      </c>
      <c r="W96" s="77">
        <f t="shared" si="11"/>
        <v>3.6344631568123208E-5</v>
      </c>
      <c r="X96" s="86">
        <f t="shared" si="12"/>
        <v>0.48001827338564168</v>
      </c>
      <c r="Z96" s="13"/>
      <c r="AS96" s="118"/>
      <c r="AT96" s="118"/>
    </row>
    <row r="97" spans="1:46" x14ac:dyDescent="0.2">
      <c r="A97" s="59">
        <v>1809.6121826171875</v>
      </c>
      <c r="B97" s="158">
        <v>0.81328863151478203</v>
      </c>
      <c r="C97" s="158">
        <f t="shared" si="1"/>
        <v>0.18671136848521797</v>
      </c>
      <c r="D97" s="60">
        <f t="shared" si="2"/>
        <v>9.8750380981407204E-3</v>
      </c>
      <c r="E97" s="58">
        <f>(2*Table!$AC$16*0.147)/A97</f>
        <v>5.0649020903830153E-2</v>
      </c>
      <c r="F97" s="58">
        <f t="shared" si="3"/>
        <v>0.10129804180766031</v>
      </c>
      <c r="G97" s="59">
        <f>IF((('Raw Data'!C97)/('Raw Data'!C$136)*100)&lt;0,0,('Raw Data'!C97)/('Raw Data'!C$136)*100)</f>
        <v>81.328863151478203</v>
      </c>
      <c r="H97" s="59">
        <f t="shared" si="4"/>
        <v>0.98750380981407204</v>
      </c>
      <c r="I97" s="99">
        <f t="shared" si="5"/>
        <v>4.0901761959200034E-2</v>
      </c>
      <c r="J97" s="58">
        <f>'Raw Data'!F97/I97</f>
        <v>0.24143307342092454</v>
      </c>
      <c r="K97" s="74">
        <f t="shared" si="6"/>
        <v>4.8237565663612534</v>
      </c>
      <c r="L97" s="59">
        <f>A97*Table!$AC$9/$AC$16</f>
        <v>406.32572224991833</v>
      </c>
      <c r="M97" s="59">
        <f>A97*Table!$AD$9/$AC$16</f>
        <v>139.311676199972</v>
      </c>
      <c r="N97" s="59">
        <f>ABS(A97*Table!$AE$9/$AC$16)</f>
        <v>175.94419883974462</v>
      </c>
      <c r="O97" s="59">
        <f>($L97*(Table!$AC$10/Table!$AC$9)/(Table!$AC$12-Table!$AC$14))</f>
        <v>871.56954579562068</v>
      </c>
      <c r="P97" s="59">
        <f>ROUND(($N97*(Table!$AE$10/Table!$AE$9)/(Table!$AC$12-Table!$AC$13)),2)</f>
        <v>1444.53</v>
      </c>
      <c r="Q97" s="59">
        <f>'Raw Data'!C97</f>
        <v>1.3342000000000001</v>
      </c>
      <c r="R97" s="59">
        <f>'Raw Data'!C97/'Raw Data'!I$30*100</f>
        <v>12.135750121812345</v>
      </c>
      <c r="S97" s="109">
        <f t="shared" si="7"/>
        <v>9.8122350090853183E-2</v>
      </c>
      <c r="T97" s="109">
        <f t="shared" si="8"/>
        <v>2.7367354367169305E-4</v>
      </c>
      <c r="U97" s="77">
        <f t="shared" si="9"/>
        <v>6.7062712322486558E-3</v>
      </c>
      <c r="V97" s="77">
        <f t="shared" si="10"/>
        <v>8.4246614976488721E-2</v>
      </c>
      <c r="W97" s="77">
        <f t="shared" si="11"/>
        <v>3.1464444094464675E-5</v>
      </c>
      <c r="X97" s="86">
        <f t="shared" si="12"/>
        <v>0.48004973782973615</v>
      </c>
      <c r="Z97" s="158"/>
      <c r="AS97" s="118"/>
      <c r="AT97" s="118"/>
    </row>
    <row r="98" spans="1:46" x14ac:dyDescent="0.2">
      <c r="A98" s="59">
        <v>1978.09619140625</v>
      </c>
      <c r="B98" s="158">
        <v>0.82231027125876255</v>
      </c>
      <c r="C98" s="158">
        <f t="shared" si="1"/>
        <v>0.17768972874123745</v>
      </c>
      <c r="D98" s="60">
        <f t="shared" si="2"/>
        <v>9.021639743980514E-3</v>
      </c>
      <c r="E98" s="58">
        <f>(2*Table!$AC$16*0.147)/A98</f>
        <v>4.6334999108433167E-2</v>
      </c>
      <c r="F98" s="58">
        <f t="shared" si="3"/>
        <v>9.2669998216866334E-2</v>
      </c>
      <c r="G98" s="59">
        <f>IF((('Raw Data'!C98)/('Raw Data'!C$136)*100)&lt;0,0,('Raw Data'!C98)/('Raw Data'!C$136)*100)</f>
        <v>82.231027125876253</v>
      </c>
      <c r="H98" s="59">
        <f t="shared" si="4"/>
        <v>0.90216397439805007</v>
      </c>
      <c r="I98" s="99">
        <f t="shared" si="5"/>
        <v>3.8661895430727622E-2</v>
      </c>
      <c r="J98" s="58">
        <f>'Raw Data'!F98/I98</f>
        <v>0.23334706287603049</v>
      </c>
      <c r="K98" s="74">
        <f t="shared" si="6"/>
        <v>5.2728725988073251</v>
      </c>
      <c r="L98" s="59">
        <f>A98*Table!$AC$9/$AC$16</f>
        <v>444.15669355768591</v>
      </c>
      <c r="M98" s="59">
        <f>A98*Table!$AD$9/$AC$16</f>
        <v>152.28229493406374</v>
      </c>
      <c r="N98" s="59">
        <f>ABS(A98*Table!$AE$9/$AC$16)</f>
        <v>192.32548994092807</v>
      </c>
      <c r="O98" s="59">
        <f>($L98*(Table!$AC$10/Table!$AC$9)/(Table!$AC$12-Table!$AC$14))</f>
        <v>952.71706039829689</v>
      </c>
      <c r="P98" s="59">
        <f>ROUND(($N98*(Table!$AE$10/Table!$AE$9)/(Table!$AC$12-Table!$AC$13)),2)</f>
        <v>1579.03</v>
      </c>
      <c r="Q98" s="59">
        <f>'Raw Data'!C98</f>
        <v>1.349</v>
      </c>
      <c r="R98" s="59">
        <f>'Raw Data'!C98/'Raw Data'!I$30*100</f>
        <v>12.270369445603997</v>
      </c>
      <c r="S98" s="109">
        <f t="shared" si="7"/>
        <v>8.964264082374343E-2</v>
      </c>
      <c r="T98" s="109">
        <f t="shared" si="8"/>
        <v>2.2357352760782323E-4</v>
      </c>
      <c r="U98" s="77">
        <f t="shared" si="9"/>
        <v>6.2031207071284325E-3</v>
      </c>
      <c r="V98" s="77">
        <f t="shared" si="10"/>
        <v>7.3837468464307901E-2</v>
      </c>
      <c r="W98" s="77">
        <f t="shared" si="11"/>
        <v>2.4057083364023262E-5</v>
      </c>
      <c r="X98" s="86">
        <f t="shared" si="12"/>
        <v>0.48007379491310015</v>
      </c>
      <c r="Z98" s="158"/>
      <c r="AS98" s="118"/>
      <c r="AT98" s="118"/>
    </row>
    <row r="99" spans="1:46" x14ac:dyDescent="0.2">
      <c r="A99" s="59">
        <v>2157.66943359375</v>
      </c>
      <c r="B99" s="158">
        <v>0.83066138372447418</v>
      </c>
      <c r="C99" s="158">
        <f t="shared" si="1"/>
        <v>0.16933861627552582</v>
      </c>
      <c r="D99" s="60">
        <f t="shared" si="2"/>
        <v>8.3511124657116298E-3</v>
      </c>
      <c r="E99" s="58">
        <f>(2*Table!$AC$16*0.147)/A99</f>
        <v>4.2478742961356064E-2</v>
      </c>
      <c r="F99" s="58">
        <f t="shared" si="3"/>
        <v>8.4957485922712128E-2</v>
      </c>
      <c r="G99" s="59">
        <f>IF((('Raw Data'!C99)/('Raw Data'!C$136)*100)&lt;0,0,('Raw Data'!C99)/('Raw Data'!C$136)*100)</f>
        <v>83.066138372447412</v>
      </c>
      <c r="H99" s="59">
        <f t="shared" si="4"/>
        <v>0.83511124657115943</v>
      </c>
      <c r="I99" s="99">
        <f t="shared" si="5"/>
        <v>3.7737502457828587E-2</v>
      </c>
      <c r="J99" s="58">
        <f>'Raw Data'!F99/I99</f>
        <v>0.22129478428107274</v>
      </c>
      <c r="K99" s="74">
        <f t="shared" si="6"/>
        <v>5.7515484247469741</v>
      </c>
      <c r="L99" s="59">
        <f>A99*Table!$AC$9/$AC$16</f>
        <v>484.47761316106084</v>
      </c>
      <c r="M99" s="59">
        <f>A99*Table!$AD$9/$AC$16</f>
        <v>166.10661022664942</v>
      </c>
      <c r="N99" s="59">
        <f>ABS(A99*Table!$AE$9/$AC$16)</f>
        <v>209.78496028116439</v>
      </c>
      <c r="O99" s="59">
        <f>($L99*(Table!$AC$10/Table!$AC$9)/(Table!$AC$12-Table!$AC$14))</f>
        <v>1039.205519435995</v>
      </c>
      <c r="P99" s="59">
        <f>ROUND(($N99*(Table!$AE$10/Table!$AE$9)/(Table!$AC$12-Table!$AC$13)),2)</f>
        <v>1722.37</v>
      </c>
      <c r="Q99" s="59">
        <f>'Raw Data'!C99</f>
        <v>1.3627</v>
      </c>
      <c r="R99" s="59">
        <f>'Raw Data'!C99/'Raw Data'!I$30*100</f>
        <v>12.394983279113838</v>
      </c>
      <c r="S99" s="109">
        <f t="shared" si="7"/>
        <v>8.2980012113869989E-2</v>
      </c>
      <c r="T99" s="109">
        <f t="shared" si="8"/>
        <v>1.8459533368486714E-4</v>
      </c>
      <c r="U99" s="77">
        <f t="shared" si="9"/>
        <v>5.7446164301772221E-3</v>
      </c>
      <c r="V99" s="77">
        <f t="shared" si="10"/>
        <v>6.48460172645169E-2</v>
      </c>
      <c r="W99" s="77">
        <f t="shared" si="11"/>
        <v>1.871659401045139E-5</v>
      </c>
      <c r="X99" s="86">
        <f t="shared" si="12"/>
        <v>0.48009251150711058</v>
      </c>
      <c r="Z99" s="158"/>
      <c r="AS99" s="118"/>
      <c r="AT99" s="118"/>
    </row>
    <row r="100" spans="1:46" x14ac:dyDescent="0.2">
      <c r="A100" s="59">
        <v>2367.843017578125</v>
      </c>
      <c r="B100" s="158">
        <v>0.8393782383419689</v>
      </c>
      <c r="C100" s="158">
        <f t="shared" si="1"/>
        <v>0.1606217616580311</v>
      </c>
      <c r="D100" s="60">
        <f t="shared" si="2"/>
        <v>8.7168546174947181E-3</v>
      </c>
      <c r="E100" s="58">
        <f>(2*Table!$AC$16*0.147)/A100</f>
        <v>3.8708260887560957E-2</v>
      </c>
      <c r="F100" s="58">
        <f t="shared" si="3"/>
        <v>7.7416521775121913E-2</v>
      </c>
      <c r="G100" s="59">
        <f>IF((('Raw Data'!C100)/('Raw Data'!C$136)*100)&lt;0,0,('Raw Data'!C100)/('Raw Data'!C$136)*100)</f>
        <v>83.937823834196891</v>
      </c>
      <c r="H100" s="59">
        <f t="shared" si="4"/>
        <v>0.87168546174947892</v>
      </c>
      <c r="I100" s="99">
        <f t="shared" si="5"/>
        <v>4.0367997078640583E-2</v>
      </c>
      <c r="J100" s="58">
        <f>'Raw Data'!F100/I100</f>
        <v>0.21593478122071505</v>
      </c>
      <c r="K100" s="74">
        <f t="shared" si="6"/>
        <v>6.3117934405348546</v>
      </c>
      <c r="L100" s="59">
        <f>A100*Table!$AC$9/$AC$16</f>
        <v>531.66945577277181</v>
      </c>
      <c r="M100" s="59">
        <f>A100*Table!$AD$9/$AC$16</f>
        <v>182.28667055066461</v>
      </c>
      <c r="N100" s="59">
        <f>ABS(A100*Table!$AE$9/$AC$16)</f>
        <v>230.21962755773373</v>
      </c>
      <c r="O100" s="59">
        <f>($L100*(Table!$AC$10/Table!$AC$9)/(Table!$AC$12-Table!$AC$14))</f>
        <v>1140.4321230647188</v>
      </c>
      <c r="P100" s="59">
        <f>ROUND(($N100*(Table!$AE$10/Table!$AE$9)/(Table!$AC$12-Table!$AC$13)),2)</f>
        <v>1890.14</v>
      </c>
      <c r="Q100" s="59">
        <f>'Raw Data'!C100</f>
        <v>1.377</v>
      </c>
      <c r="R100" s="59">
        <f>'Raw Data'!C100/'Raw Data'!I$30*100</f>
        <v>12.525054652777392</v>
      </c>
      <c r="S100" s="109">
        <f t="shared" si="7"/>
        <v>8.6614173228347011E-2</v>
      </c>
      <c r="T100" s="109">
        <f t="shared" si="8"/>
        <v>1.5081210226997044E-4</v>
      </c>
      <c r="U100" s="77">
        <f t="shared" si="9"/>
        <v>5.2896473962992093E-3</v>
      </c>
      <c r="V100" s="77">
        <f t="shared" si="10"/>
        <v>5.6401088384619179E-2</v>
      </c>
      <c r="W100" s="77">
        <f t="shared" si="11"/>
        <v>1.6222070935368505E-5</v>
      </c>
      <c r="X100" s="86">
        <f t="shared" si="12"/>
        <v>0.48010873357804595</v>
      </c>
      <c r="Z100" s="158"/>
      <c r="AS100" s="118"/>
      <c r="AT100" s="118"/>
    </row>
    <row r="101" spans="1:46" x14ac:dyDescent="0.2">
      <c r="A101" s="59">
        <v>2587.8046875</v>
      </c>
      <c r="B101" s="158">
        <v>0.84779030783297771</v>
      </c>
      <c r="C101" s="158">
        <f t="shared" si="1"/>
        <v>0.15220969216702229</v>
      </c>
      <c r="D101" s="60">
        <f t="shared" si="2"/>
        <v>8.4120694910088112E-3</v>
      </c>
      <c r="E101" s="58">
        <f>(2*Table!$AC$16*0.147)/A101</f>
        <v>3.5418084567173748E-2</v>
      </c>
      <c r="F101" s="58">
        <f t="shared" si="3"/>
        <v>7.0836169134347496E-2</v>
      </c>
      <c r="G101" s="59">
        <f>IF((('Raw Data'!C101)/('Raw Data'!C$136)*100)&lt;0,0,('Raw Data'!C101)/('Raw Data'!C$136)*100)</f>
        <v>84.77903078329777</v>
      </c>
      <c r="H101" s="59">
        <f t="shared" si="4"/>
        <v>0.84120694910087934</v>
      </c>
      <c r="I101" s="99">
        <f t="shared" si="5"/>
        <v>3.8578588900257671E-2</v>
      </c>
      <c r="J101" s="58">
        <f>'Raw Data'!F101/I101</f>
        <v>0.21805021206860747</v>
      </c>
      <c r="K101" s="74">
        <f t="shared" si="6"/>
        <v>6.8981298720783686</v>
      </c>
      <c r="L101" s="59">
        <f>A101*Table!$AC$9/$AC$16</f>
        <v>581.05909033471539</v>
      </c>
      <c r="M101" s="59">
        <f>A101*Table!$AD$9/$AC$16</f>
        <v>199.22025954333097</v>
      </c>
      <c r="N101" s="59">
        <f>ABS(A101*Table!$AE$9/$AC$16)</f>
        <v>251.60596666487027</v>
      </c>
      <c r="O101" s="59">
        <f>($L101*(Table!$AC$10/Table!$AC$9)/(Table!$AC$12-Table!$AC$14))</f>
        <v>1246.3729951409598</v>
      </c>
      <c r="P101" s="59">
        <f>ROUND(($N101*(Table!$AE$10/Table!$AE$9)/(Table!$AC$12-Table!$AC$13)),2)</f>
        <v>2065.73</v>
      </c>
      <c r="Q101" s="59">
        <f>'Raw Data'!C101</f>
        <v>1.3908</v>
      </c>
      <c r="R101" s="59">
        <f>'Raw Data'!C101/'Raw Data'!I$30*100</f>
        <v>12.650578076312854</v>
      </c>
      <c r="S101" s="109">
        <f t="shared" si="7"/>
        <v>8.3585705632949495E-2</v>
      </c>
      <c r="T101" s="109">
        <f t="shared" si="8"/>
        <v>1.2351685334832663E-4</v>
      </c>
      <c r="U101" s="77">
        <f t="shared" si="9"/>
        <v>4.8885366571208263E-3</v>
      </c>
      <c r="V101" s="77">
        <f t="shared" si="10"/>
        <v>4.9359911825439889E-2</v>
      </c>
      <c r="W101" s="77">
        <f t="shared" si="11"/>
        <v>1.310666403605622E-5</v>
      </c>
      <c r="X101" s="86">
        <f t="shared" si="12"/>
        <v>0.48012184024208199</v>
      </c>
      <c r="Z101" s="158"/>
      <c r="AS101" s="118"/>
      <c r="AT101" s="118"/>
    </row>
    <row r="102" spans="1:46" x14ac:dyDescent="0.2">
      <c r="A102" s="59">
        <v>2827.594970703125</v>
      </c>
      <c r="B102" s="158">
        <v>0.85595854922279779</v>
      </c>
      <c r="C102" s="158">
        <f t="shared" si="1"/>
        <v>0.14404145077720221</v>
      </c>
      <c r="D102" s="60">
        <f t="shared" si="2"/>
        <v>8.1682413898200856E-3</v>
      </c>
      <c r="E102" s="58">
        <f>(2*Table!$AC$16*0.147)/A102</f>
        <v>3.2414502860150511E-2</v>
      </c>
      <c r="F102" s="58">
        <f t="shared" si="3"/>
        <v>6.4829005720301022E-2</v>
      </c>
      <c r="G102" s="59">
        <f>IF((('Raw Data'!C102)/('Raw Data'!C$136)*100)&lt;0,0,('Raw Data'!C102)/('Raw Data'!C$136)*100)</f>
        <v>85.595854922279784</v>
      </c>
      <c r="H102" s="59">
        <f t="shared" si="4"/>
        <v>0.81682413898201389</v>
      </c>
      <c r="I102" s="99">
        <f t="shared" si="5"/>
        <v>3.8485705329783571E-2</v>
      </c>
      <c r="J102" s="58">
        <f>'Raw Data'!F102/I102</f>
        <v>0.21224091698012335</v>
      </c>
      <c r="K102" s="74">
        <f t="shared" si="6"/>
        <v>7.5373220505250309</v>
      </c>
      <c r="L102" s="59">
        <f>A102*Table!$AC$9/$AC$16</f>
        <v>634.90099134916807</v>
      </c>
      <c r="M102" s="59">
        <f>A102*Table!$AD$9/$AC$16</f>
        <v>217.68033989114332</v>
      </c>
      <c r="N102" s="59">
        <f>ABS(A102*Table!$AE$9/$AC$16)</f>
        <v>274.92019369815182</v>
      </c>
      <c r="O102" s="59">
        <f>($L102*(Table!$AC$10/Table!$AC$9)/(Table!$AC$12-Table!$AC$14))</f>
        <v>1361.8639883079541</v>
      </c>
      <c r="P102" s="59">
        <f>ROUND(($N102*(Table!$AE$10/Table!$AE$9)/(Table!$AC$12-Table!$AC$13)),2)</f>
        <v>2257.14</v>
      </c>
      <c r="Q102" s="59">
        <f>'Raw Data'!C102</f>
        <v>1.4041999999999999</v>
      </c>
      <c r="R102" s="59">
        <f>'Raw Data'!C102/'Raw Data'!I$30*100</f>
        <v>12.772463139745835</v>
      </c>
      <c r="S102" s="109">
        <f t="shared" si="7"/>
        <v>8.1162931556631485E-2</v>
      </c>
      <c r="T102" s="109">
        <f t="shared" si="8"/>
        <v>1.0131744701236123E-4</v>
      </c>
      <c r="U102" s="77">
        <f t="shared" si="9"/>
        <v>4.5170766223883068E-3</v>
      </c>
      <c r="V102" s="77">
        <f t="shared" si="10"/>
        <v>4.3185391024562141E-2</v>
      </c>
      <c r="W102" s="77">
        <f t="shared" si="11"/>
        <v>1.065973647939681E-5</v>
      </c>
      <c r="X102" s="86">
        <f t="shared" si="12"/>
        <v>0.48013249997856139</v>
      </c>
      <c r="Z102" s="158"/>
      <c r="AS102" s="118"/>
      <c r="AT102" s="118"/>
    </row>
    <row r="103" spans="1:46" x14ac:dyDescent="0.2">
      <c r="A103" s="59">
        <v>3097.42578125</v>
      </c>
      <c r="B103" s="158">
        <v>0.86449253276440097</v>
      </c>
      <c r="C103" s="158">
        <f t="shared" si="1"/>
        <v>0.13550746723559903</v>
      </c>
      <c r="D103" s="60">
        <f t="shared" si="2"/>
        <v>8.533983541603174E-3</v>
      </c>
      <c r="E103" s="58">
        <f>(2*Table!$AC$16*0.147)/A103</f>
        <v>2.9590728475248639E-2</v>
      </c>
      <c r="F103" s="58">
        <f t="shared" si="3"/>
        <v>5.9181456950497278E-2</v>
      </c>
      <c r="G103" s="59">
        <f>IF((('Raw Data'!C103)/('Raw Data'!C$136)*100)&lt;0,0,('Raw Data'!C103)/('Raw Data'!C$136)*100)</f>
        <v>86.449253276440103</v>
      </c>
      <c r="H103" s="59">
        <f t="shared" si="4"/>
        <v>0.85339835416031917</v>
      </c>
      <c r="I103" s="99">
        <f t="shared" si="5"/>
        <v>3.9583708323268629E-2</v>
      </c>
      <c r="J103" s="58">
        <f>'Raw Data'!F103/I103</f>
        <v>0.2155933312742862</v>
      </c>
      <c r="K103" s="74">
        <f t="shared" si="6"/>
        <v>8.256591160605625</v>
      </c>
      <c r="L103" s="59">
        <f>A103*Table!$AC$9/$AC$16</f>
        <v>695.48811605683443</v>
      </c>
      <c r="M103" s="59">
        <f>A103*Table!$AD$9/$AC$16</f>
        <v>238.4530683623432</v>
      </c>
      <c r="N103" s="59">
        <f>ABS(A103*Table!$AE$9/$AC$16)</f>
        <v>301.15518826769926</v>
      </c>
      <c r="O103" s="59">
        <f>($L103*(Table!$AC$10/Table!$AC$9)/(Table!$AC$12-Table!$AC$14))</f>
        <v>1491.8235007654107</v>
      </c>
      <c r="P103" s="59">
        <f>ROUND(($N103*(Table!$AE$10/Table!$AE$9)/(Table!$AC$12-Table!$AC$13)),2)</f>
        <v>2472.54</v>
      </c>
      <c r="Q103" s="59">
        <f>'Raw Data'!C103</f>
        <v>1.4181999999999999</v>
      </c>
      <c r="R103" s="59">
        <f>'Raw Data'!C103/'Raw Data'!I$30*100</f>
        <v>12.899805743332534</v>
      </c>
      <c r="S103" s="109">
        <f t="shared" si="7"/>
        <v>8.4797092671108507E-2</v>
      </c>
      <c r="T103" s="109">
        <f t="shared" si="8"/>
        <v>8.1988990201620204E-5</v>
      </c>
      <c r="U103" s="77">
        <f t="shared" si="9"/>
        <v>4.1646859858339132E-3</v>
      </c>
      <c r="V103" s="77">
        <f t="shared" si="10"/>
        <v>3.7643196944463921E-2</v>
      </c>
      <c r="W103" s="77">
        <f t="shared" si="11"/>
        <v>9.281160632754756E-6</v>
      </c>
      <c r="X103" s="86">
        <f t="shared" si="12"/>
        <v>0.48014178113919415</v>
      </c>
      <c r="Z103" s="158"/>
      <c r="AS103" s="118"/>
      <c r="AT103" s="118"/>
    </row>
    <row r="104" spans="1:46" x14ac:dyDescent="0.2">
      <c r="A104" s="59">
        <v>3385.851806640625</v>
      </c>
      <c r="B104" s="158">
        <v>0.87247790307832973</v>
      </c>
      <c r="C104" s="158">
        <f t="shared" si="1"/>
        <v>0.12752209692167027</v>
      </c>
      <c r="D104" s="60">
        <f t="shared" si="2"/>
        <v>7.9853703139287635E-3</v>
      </c>
      <c r="E104" s="58">
        <f>(2*Table!$AC$16*0.147)/A104</f>
        <v>2.7070022700178952E-2</v>
      </c>
      <c r="F104" s="58">
        <f t="shared" si="3"/>
        <v>5.4140045400357904E-2</v>
      </c>
      <c r="G104" s="59">
        <f>IF((('Raw Data'!C104)/('Raw Data'!C$136)*100)&lt;0,0,('Raw Data'!C104)/('Raw Data'!C$136)*100)</f>
        <v>87.247790307832972</v>
      </c>
      <c r="H104" s="59">
        <f t="shared" si="4"/>
        <v>0.79853703139286836</v>
      </c>
      <c r="I104" s="99">
        <f t="shared" si="5"/>
        <v>3.8667036952657385E-2</v>
      </c>
      <c r="J104" s="58">
        <f>'Raw Data'!F104/I104</f>
        <v>0.20651622009997253</v>
      </c>
      <c r="K104" s="74">
        <f t="shared" si="6"/>
        <v>9.0254282336824172</v>
      </c>
      <c r="L104" s="59">
        <f>A104*Table!$AC$9/$AC$16</f>
        <v>760.25056306524448</v>
      </c>
      <c r="M104" s="59">
        <f>A104*Table!$AD$9/$AC$16</f>
        <v>260.65733590808384</v>
      </c>
      <c r="N104" s="59">
        <f>ABS(A104*Table!$AE$9/$AC$16)</f>
        <v>329.19815042796262</v>
      </c>
      <c r="O104" s="59">
        <f>($L104*(Table!$AC$10/Table!$AC$9)/(Table!$AC$12-Table!$AC$14))</f>
        <v>1630.739088514038</v>
      </c>
      <c r="P104" s="59">
        <f>ROUND(($N104*(Table!$AE$10/Table!$AE$9)/(Table!$AC$12-Table!$AC$13)),2)</f>
        <v>2702.78</v>
      </c>
      <c r="Q104" s="59">
        <f>'Raw Data'!C104</f>
        <v>1.4313</v>
      </c>
      <c r="R104" s="59">
        <f>'Raw Data'!C104/'Raw Data'!I$30*100</f>
        <v>13.018962036688658</v>
      </c>
      <c r="S104" s="109">
        <f t="shared" si="7"/>
        <v>7.9345850999395173E-2</v>
      </c>
      <c r="T104" s="109">
        <f t="shared" si="8"/>
        <v>6.6853155808788145E-5</v>
      </c>
      <c r="U104" s="77">
        <f t="shared" si="9"/>
        <v>3.8451068682789791E-3</v>
      </c>
      <c r="V104" s="77">
        <f t="shared" si="10"/>
        <v>3.2889178440027832E-2</v>
      </c>
      <c r="W104" s="77">
        <f t="shared" si="11"/>
        <v>7.2679423756401981E-6</v>
      </c>
      <c r="X104" s="86">
        <f t="shared" si="12"/>
        <v>0.4801490490815698</v>
      </c>
      <c r="Z104" s="158"/>
      <c r="AS104" s="118"/>
      <c r="AT104" s="118"/>
    </row>
    <row r="105" spans="1:46" x14ac:dyDescent="0.2">
      <c r="A105" s="59">
        <v>3706.689697265625</v>
      </c>
      <c r="B105" s="158">
        <v>0.88064614446814993</v>
      </c>
      <c r="C105" s="158">
        <f t="shared" si="1"/>
        <v>0.11935385553185007</v>
      </c>
      <c r="D105" s="60">
        <f t="shared" si="2"/>
        <v>8.1682413898201967E-3</v>
      </c>
      <c r="E105" s="58">
        <f>(2*Table!$AC$16*0.147)/A105</f>
        <v>2.4726937712864491E-2</v>
      </c>
      <c r="F105" s="58">
        <f t="shared" si="3"/>
        <v>4.9453875425728981E-2</v>
      </c>
      <c r="G105" s="59">
        <f>IF((('Raw Data'!C105)/('Raw Data'!C$136)*100)&lt;0,0,('Raw Data'!C105)/('Raw Data'!C$136)*100)</f>
        <v>88.064614446815</v>
      </c>
      <c r="H105" s="59">
        <f t="shared" si="4"/>
        <v>0.8168241389820281</v>
      </c>
      <c r="I105" s="99">
        <f t="shared" si="5"/>
        <v>3.931828510727664E-2</v>
      </c>
      <c r="J105" s="58">
        <f>'Raw Data'!F105/I105</f>
        <v>0.20774663410506933</v>
      </c>
      <c r="K105" s="74">
        <f t="shared" si="6"/>
        <v>9.8806633478722024</v>
      </c>
      <c r="L105" s="59">
        <f>A105*Table!$AC$9/$AC$16</f>
        <v>832.29068795255648</v>
      </c>
      <c r="M105" s="59">
        <f>A105*Table!$AD$9/$AC$16</f>
        <v>285.35680729801936</v>
      </c>
      <c r="N105" s="59">
        <f>ABS(A105*Table!$AE$9/$AC$16)</f>
        <v>360.39243955007055</v>
      </c>
      <c r="O105" s="59">
        <f>($L105*(Table!$AC$10/Table!$AC$9)/(Table!$AC$12-Table!$AC$14))</f>
        <v>1785.2653109235448</v>
      </c>
      <c r="P105" s="59">
        <f>ROUND(($N105*(Table!$AE$10/Table!$AE$9)/(Table!$AC$12-Table!$AC$13)),2)</f>
        <v>2958.89</v>
      </c>
      <c r="Q105" s="59">
        <f>'Raw Data'!C105</f>
        <v>1.4447000000000001</v>
      </c>
      <c r="R105" s="59">
        <f>'Raw Data'!C105/'Raw Data'!I$30*100</f>
        <v>13.140847100121642</v>
      </c>
      <c r="S105" s="109">
        <f t="shared" si="7"/>
        <v>8.1162931556632581E-2</v>
      </c>
      <c r="T105" s="109">
        <f t="shared" si="8"/>
        <v>5.3934917265796578E-5</v>
      </c>
      <c r="U105" s="77">
        <f t="shared" si="9"/>
        <v>3.5451705358059693E-3</v>
      </c>
      <c r="V105" s="77">
        <f t="shared" si="10"/>
        <v>2.8668784792116042E-2</v>
      </c>
      <c r="W105" s="77">
        <f t="shared" si="11"/>
        <v>6.2030946486892943E-6</v>
      </c>
      <c r="X105" s="86">
        <f t="shared" si="12"/>
        <v>0.48015525217621852</v>
      </c>
      <c r="Z105" s="158"/>
      <c r="AS105" s="118"/>
      <c r="AT105" s="118"/>
    </row>
    <row r="106" spans="1:46" x14ac:dyDescent="0.2">
      <c r="A106" s="59">
        <v>4056.8125</v>
      </c>
      <c r="B106" s="158">
        <v>0.88850960073148422</v>
      </c>
      <c r="C106" s="158">
        <f t="shared" si="1"/>
        <v>0.11149039926851578</v>
      </c>
      <c r="D106" s="60">
        <f t="shared" si="2"/>
        <v>7.8634562633342897E-3</v>
      </c>
      <c r="E106" s="58">
        <f>(2*Table!$AC$16*0.147)/A106</f>
        <v>2.2592881792097525E-2</v>
      </c>
      <c r="F106" s="58">
        <f t="shared" si="3"/>
        <v>4.518576358419505E-2</v>
      </c>
      <c r="G106" s="59">
        <f>IF((('Raw Data'!C106)/('Raw Data'!C$136)*100)&lt;0,0,('Raw Data'!C106)/('Raw Data'!C$136)*100)</f>
        <v>88.850960073148428</v>
      </c>
      <c r="H106" s="59">
        <f t="shared" si="4"/>
        <v>0.78634562633342853</v>
      </c>
      <c r="I106" s="99">
        <f t="shared" si="5"/>
        <v>3.919870478999532E-2</v>
      </c>
      <c r="J106" s="58">
        <f>'Raw Data'!F106/I106</f>
        <v>0.20060500226888309</v>
      </c>
      <c r="K106" s="74">
        <f t="shared" si="6"/>
        <v>10.813961203040337</v>
      </c>
      <c r="L106" s="59">
        <f>A106*Table!$AC$9/$AC$16</f>
        <v>910.90637260796075</v>
      </c>
      <c r="M106" s="59">
        <f>A106*Table!$AD$9/$AC$16</f>
        <v>312.31075632272939</v>
      </c>
      <c r="N106" s="59">
        <f>ABS(A106*Table!$AE$9/$AC$16)</f>
        <v>394.4340295738138</v>
      </c>
      <c r="O106" s="59">
        <f>($L106*(Table!$AC$10/Table!$AC$9)/(Table!$AC$12-Table!$AC$14))</f>
        <v>1953.8961231401993</v>
      </c>
      <c r="P106" s="59">
        <f>ROUND(($N106*(Table!$AE$10/Table!$AE$9)/(Table!$AC$12-Table!$AC$13)),2)</f>
        <v>3238.37</v>
      </c>
      <c r="Q106" s="59">
        <f>'Raw Data'!C106</f>
        <v>1.4576</v>
      </c>
      <c r="R106" s="59">
        <f>'Raw Data'!C106/'Raw Data'!I$30*100</f>
        <v>13.258184213426528</v>
      </c>
      <c r="S106" s="109">
        <f t="shared" si="7"/>
        <v>7.8134463961235065E-2</v>
      </c>
      <c r="T106" s="109">
        <f t="shared" si="8"/>
        <v>4.3552683525294178E-5</v>
      </c>
      <c r="U106" s="77">
        <f t="shared" si="9"/>
        <v>3.2681284169348542E-3</v>
      </c>
      <c r="V106" s="77">
        <f t="shared" si="10"/>
        <v>2.4983466433097838E-2</v>
      </c>
      <c r="W106" s="77">
        <f t="shared" si="11"/>
        <v>4.9853529444009525E-6</v>
      </c>
      <c r="X106" s="86">
        <f t="shared" si="12"/>
        <v>0.48016023752916293</v>
      </c>
      <c r="Z106" s="158"/>
      <c r="AS106" s="118"/>
      <c r="AT106" s="118"/>
    </row>
    <row r="107" spans="1:46" x14ac:dyDescent="0.2">
      <c r="A107" s="59">
        <v>4435.58837890625</v>
      </c>
      <c r="B107" s="158">
        <v>0.89643401402011569</v>
      </c>
      <c r="C107" s="158">
        <f t="shared" si="1"/>
        <v>0.10356598597988431</v>
      </c>
      <c r="D107" s="60">
        <f t="shared" si="2"/>
        <v>7.9244132886314711E-3</v>
      </c>
      <c r="E107" s="58">
        <f>(2*Table!$AC$16*0.147)/A107</f>
        <v>2.0663568716402042E-2</v>
      </c>
      <c r="F107" s="58">
        <f t="shared" si="3"/>
        <v>4.1327137432804084E-2</v>
      </c>
      <c r="G107" s="59">
        <f>IF((('Raw Data'!C107)/('Raw Data'!C$136)*100)&lt;0,0,('Raw Data'!C107)/('Raw Data'!C$136)*100)</f>
        <v>89.643401402011563</v>
      </c>
      <c r="H107" s="59">
        <f t="shared" si="4"/>
        <v>0.79244132886313423</v>
      </c>
      <c r="I107" s="99">
        <f t="shared" si="5"/>
        <v>3.8766301260720226E-2</v>
      </c>
      <c r="J107" s="58">
        <f>'Raw Data'!F107/I107</f>
        <v>0.20441499526447848</v>
      </c>
      <c r="K107" s="74">
        <f t="shared" si="6"/>
        <v>11.823637558341376</v>
      </c>
      <c r="L107" s="59">
        <f>A107*Table!$AC$9/$AC$16</f>
        <v>995.95574619520062</v>
      </c>
      <c r="M107" s="59">
        <f>A107*Table!$AD$9/$AC$16</f>
        <v>341.47054155264021</v>
      </c>
      <c r="N107" s="59">
        <f>ABS(A107*Table!$AE$9/$AC$16)</f>
        <v>431.26148862506523</v>
      </c>
      <c r="O107" s="59">
        <f>($L107*(Table!$AC$10/Table!$AC$9)/(Table!$AC$12-Table!$AC$14))</f>
        <v>2136.3272119159178</v>
      </c>
      <c r="P107" s="59">
        <f>ROUND(($N107*(Table!$AE$10/Table!$AE$9)/(Table!$AC$12-Table!$AC$13)),2)</f>
        <v>3540.73</v>
      </c>
      <c r="Q107" s="59">
        <f>'Raw Data'!C107</f>
        <v>1.4705999999999999</v>
      </c>
      <c r="R107" s="59">
        <f>'Raw Data'!C107/'Raw Data'!I$30*100</f>
        <v>13.376430916757032</v>
      </c>
      <c r="S107" s="109">
        <f t="shared" si="7"/>
        <v>7.8740157480314571E-2</v>
      </c>
      <c r="T107" s="109">
        <f t="shared" si="8"/>
        <v>3.4800592182082646E-5</v>
      </c>
      <c r="U107" s="77">
        <f t="shared" si="9"/>
        <v>3.0157060967085183E-3</v>
      </c>
      <c r="V107" s="77">
        <f t="shared" si="10"/>
        <v>2.1808194826753429E-2</v>
      </c>
      <c r="W107" s="77">
        <f t="shared" si="11"/>
        <v>4.2025892922979039E-6</v>
      </c>
      <c r="X107" s="86">
        <f t="shared" si="12"/>
        <v>0.48016444011845522</v>
      </c>
      <c r="Z107" s="158"/>
      <c r="AS107" s="118"/>
      <c r="AT107" s="118"/>
    </row>
    <row r="108" spans="1:46" x14ac:dyDescent="0.2">
      <c r="A108" s="59">
        <v>4846.455078125</v>
      </c>
      <c r="B108" s="158">
        <v>0.90387077110636993</v>
      </c>
      <c r="C108" s="158">
        <f t="shared" si="1"/>
        <v>9.612922889363007E-2</v>
      </c>
      <c r="D108" s="60">
        <f t="shared" si="2"/>
        <v>7.436757086254242E-3</v>
      </c>
      <c r="E108" s="58">
        <f>(2*Table!$AC$16*0.147)/A108</f>
        <v>1.8911778565512512E-2</v>
      </c>
      <c r="F108" s="58">
        <f t="shared" si="3"/>
        <v>3.7823557131025025E-2</v>
      </c>
      <c r="G108" s="59">
        <f>IF((('Raw Data'!C108)/('Raw Data'!C$136)*100)&lt;0,0,('Raw Data'!C108)/('Raw Data'!C$136)*100)</f>
        <v>90.387077110636994</v>
      </c>
      <c r="H108" s="59">
        <f t="shared" si="4"/>
        <v>0.74367570862543175</v>
      </c>
      <c r="I108" s="99">
        <f t="shared" si="5"/>
        <v>3.8472954642259749E-2</v>
      </c>
      <c r="J108" s="58">
        <f>'Raw Data'!F108/I108</f>
        <v>0.19329830930337499</v>
      </c>
      <c r="K108" s="74">
        <f t="shared" si="6"/>
        <v>12.9188561677725</v>
      </c>
      <c r="L108" s="59">
        <f>A108*Table!$AC$9/$AC$16</f>
        <v>1088.210711050184</v>
      </c>
      <c r="M108" s="59">
        <f>A108*Table!$AD$9/$AC$16</f>
        <v>373.10081521720593</v>
      </c>
      <c r="N108" s="59">
        <f>ABS(A108*Table!$AE$9/$AC$16)</f>
        <v>471.20906021989333</v>
      </c>
      <c r="O108" s="59">
        <f>($L108*(Table!$AC$10/Table!$AC$9)/(Table!$AC$12-Table!$AC$14))</f>
        <v>2334.2143094169546</v>
      </c>
      <c r="P108" s="59">
        <f>ROUND(($N108*(Table!$AE$10/Table!$AE$9)/(Table!$AC$12-Table!$AC$13)),2)</f>
        <v>3868.71</v>
      </c>
      <c r="Q108" s="59">
        <f>'Raw Data'!C108</f>
        <v>1.4827999999999999</v>
      </c>
      <c r="R108" s="59">
        <f>'Raw Data'!C108/'Raw Data'!I$30*100</f>
        <v>13.487400899882584</v>
      </c>
      <c r="S108" s="109">
        <f t="shared" si="7"/>
        <v>7.3894609327680744E-2</v>
      </c>
      <c r="T108" s="109">
        <f t="shared" si="8"/>
        <v>2.7920687668103739E-5</v>
      </c>
      <c r="U108" s="77">
        <f t="shared" si="9"/>
        <v>2.7829414866052155E-3</v>
      </c>
      <c r="V108" s="77">
        <f t="shared" si="10"/>
        <v>1.9038349124304837E-2</v>
      </c>
      <c r="W108" s="77">
        <f t="shared" si="11"/>
        <v>3.3036004662583055E-6</v>
      </c>
      <c r="X108" s="86">
        <f t="shared" si="12"/>
        <v>0.48016774371892146</v>
      </c>
      <c r="Z108" s="158"/>
      <c r="AS108" s="118"/>
      <c r="AT108" s="118"/>
    </row>
    <row r="109" spans="1:46" x14ac:dyDescent="0.2">
      <c r="A109" s="59">
        <v>5304.5751953125</v>
      </c>
      <c r="B109" s="158">
        <v>0.91179518439500151</v>
      </c>
      <c r="C109" s="158">
        <f t="shared" si="1"/>
        <v>8.8204815604998488E-2</v>
      </c>
      <c r="D109" s="60">
        <f t="shared" si="2"/>
        <v>7.9244132886315821E-3</v>
      </c>
      <c r="E109" s="58">
        <f>(2*Table!$AC$16*0.147)/A109</f>
        <v>1.7278496748655121E-2</v>
      </c>
      <c r="F109" s="58">
        <f t="shared" si="3"/>
        <v>3.4556993497310243E-2</v>
      </c>
      <c r="G109" s="59">
        <f>IF((('Raw Data'!C109)/('Raw Data'!C$136)*100)&lt;0,0,('Raw Data'!C109)/('Raw Data'!C$136)*100)</f>
        <v>91.179518439500157</v>
      </c>
      <c r="H109" s="59">
        <f t="shared" si="4"/>
        <v>0.79244132886316265</v>
      </c>
      <c r="I109" s="99">
        <f t="shared" si="5"/>
        <v>3.922641854754505E-2</v>
      </c>
      <c r="J109" s="58">
        <f>'Raw Data'!F109/I109</f>
        <v>0.20201725220024006</v>
      </c>
      <c r="K109" s="74">
        <f t="shared" si="6"/>
        <v>14.140034906892909</v>
      </c>
      <c r="L109" s="59">
        <f>A109*Table!$AC$9/$AC$16</f>
        <v>1191.0758383307768</v>
      </c>
      <c r="M109" s="59">
        <f>A109*Table!$AD$9/$AC$16</f>
        <v>408.36885885626634</v>
      </c>
      <c r="N109" s="59">
        <f>ABS(A109*Table!$AE$9/$AC$16)</f>
        <v>515.7509669141499</v>
      </c>
      <c r="O109" s="59">
        <f>($L109*(Table!$AC$10/Table!$AC$9)/(Table!$AC$12-Table!$AC$14))</f>
        <v>2554.8602280797445</v>
      </c>
      <c r="P109" s="59">
        <f>ROUND(($N109*(Table!$AE$10/Table!$AE$9)/(Table!$AC$12-Table!$AC$13)),2)</f>
        <v>4234.41</v>
      </c>
      <c r="Q109" s="59">
        <f>'Raw Data'!C109</f>
        <v>1.4958</v>
      </c>
      <c r="R109" s="59">
        <f>'Raw Data'!C109/'Raw Data'!I$30*100</f>
        <v>13.605647603213091</v>
      </c>
      <c r="S109" s="109">
        <f t="shared" si="7"/>
        <v>7.8740157480315667E-2</v>
      </c>
      <c r="T109" s="109">
        <f t="shared" si="8"/>
        <v>2.1801227739981499E-5</v>
      </c>
      <c r="U109" s="77">
        <f t="shared" si="9"/>
        <v>2.5648891951302734E-3</v>
      </c>
      <c r="V109" s="77">
        <f t="shared" si="10"/>
        <v>1.6584711147392274E-2</v>
      </c>
      <c r="W109" s="77">
        <f t="shared" si="11"/>
        <v>2.93844930997331E-6</v>
      </c>
      <c r="X109" s="86">
        <f t="shared" si="12"/>
        <v>0.48017068216823144</v>
      </c>
      <c r="Z109" s="158"/>
      <c r="AS109" s="118"/>
      <c r="AT109" s="118"/>
    </row>
    <row r="110" spans="1:46" x14ac:dyDescent="0.2">
      <c r="A110" s="59">
        <v>5803.01416015625</v>
      </c>
      <c r="B110" s="158">
        <v>0.91819567205120389</v>
      </c>
      <c r="C110" s="158">
        <f t="shared" si="1"/>
        <v>8.1804327948796107E-2</v>
      </c>
      <c r="D110" s="60">
        <f t="shared" si="2"/>
        <v>6.4004876562023805E-3</v>
      </c>
      <c r="E110" s="58">
        <f>(2*Table!$AC$16*0.147)/A110</f>
        <v>1.5794392833729663E-2</v>
      </c>
      <c r="F110" s="58">
        <f t="shared" si="3"/>
        <v>3.1588785667459325E-2</v>
      </c>
      <c r="G110" s="59">
        <f>IF((('Raw Data'!C110)/('Raw Data'!C$136)*100)&lt;0,0,('Raw Data'!C110)/('Raw Data'!C$136)*100)</f>
        <v>91.819567205120393</v>
      </c>
      <c r="H110" s="59">
        <f t="shared" si="4"/>
        <v>0.64004876562023583</v>
      </c>
      <c r="I110" s="99">
        <f t="shared" si="5"/>
        <v>3.9003020147811318E-2</v>
      </c>
      <c r="J110" s="58">
        <f>'Raw Data'!F110/I110</f>
        <v>0.1641023600722763</v>
      </c>
      <c r="K110" s="74">
        <f t="shared" si="6"/>
        <v>15.468688776871838</v>
      </c>
      <c r="L110" s="59">
        <f>A110*Table!$AC$9/$AC$16</f>
        <v>1302.9940572359608</v>
      </c>
      <c r="M110" s="59">
        <f>A110*Table!$AD$9/$AC$16</f>
        <v>446.740819623758</v>
      </c>
      <c r="N110" s="59">
        <f>ABS(A110*Table!$AE$9/$AC$16)</f>
        <v>564.2129772732485</v>
      </c>
      <c r="O110" s="59">
        <f>($L110*(Table!$AC$10/Table!$AC$9)/(Table!$AC$12-Table!$AC$14))</f>
        <v>2794.9250476961838</v>
      </c>
      <c r="P110" s="59">
        <f>ROUND(($N110*(Table!$AE$10/Table!$AE$9)/(Table!$AC$12-Table!$AC$13)),2)</f>
        <v>4632.29</v>
      </c>
      <c r="Q110" s="59">
        <f>'Raw Data'!C110</f>
        <v>1.5063</v>
      </c>
      <c r="R110" s="59">
        <f>'Raw Data'!C110/'Raw Data'!I$30*100</f>
        <v>13.701154555903114</v>
      </c>
      <c r="S110" s="109">
        <f t="shared" si="7"/>
        <v>6.3597819503331376E-2</v>
      </c>
      <c r="T110" s="109">
        <f t="shared" si="8"/>
        <v>1.7671199685764805E-5</v>
      </c>
      <c r="U110" s="77">
        <f t="shared" si="9"/>
        <v>2.3610410344982171E-3</v>
      </c>
      <c r="V110" s="77">
        <f t="shared" si="10"/>
        <v>1.441753364487733E-2</v>
      </c>
      <c r="W110" s="77">
        <f t="shared" si="11"/>
        <v>1.983161623527254E-6</v>
      </c>
      <c r="X110" s="86">
        <f t="shared" si="12"/>
        <v>0.48017266532985498</v>
      </c>
      <c r="Z110" s="158"/>
      <c r="AS110" s="118"/>
      <c r="AT110" s="118"/>
    </row>
    <row r="111" spans="1:46" x14ac:dyDescent="0.2">
      <c r="A111" s="59">
        <v>6354.64404296875</v>
      </c>
      <c r="B111" s="158">
        <v>0.92496190185918925</v>
      </c>
      <c r="C111" s="158">
        <f t="shared" si="1"/>
        <v>7.5038098140810749E-2</v>
      </c>
      <c r="D111" s="60">
        <f t="shared" si="2"/>
        <v>6.7662298079853578E-3</v>
      </c>
      <c r="E111" s="58">
        <f>(2*Table!$AC$16*0.147)/A111</f>
        <v>1.4423323264914835E-2</v>
      </c>
      <c r="F111" s="58">
        <f t="shared" si="3"/>
        <v>2.884664652982967E-2</v>
      </c>
      <c r="G111" s="59">
        <f>IF((('Raw Data'!C111)/('Raw Data'!C$136)*100)&lt;0,0,('Raw Data'!C111)/('Raw Data'!C$136)*100)</f>
        <v>92.49619018591892</v>
      </c>
      <c r="H111" s="59">
        <f t="shared" si="4"/>
        <v>0.6766229807985269</v>
      </c>
      <c r="I111" s="99">
        <f t="shared" si="5"/>
        <v>3.9437598149148156E-2</v>
      </c>
      <c r="J111" s="58">
        <f>'Raw Data'!F111/I111</f>
        <v>0.17156799920716032</v>
      </c>
      <c r="K111" s="74">
        <f t="shared" si="6"/>
        <v>16.939129954809459</v>
      </c>
      <c r="L111" s="59">
        <f>A111*Table!$AC$9/$AC$16</f>
        <v>1426.8556297328137</v>
      </c>
      <c r="M111" s="59">
        <f>A111*Table!$AD$9/$AC$16</f>
        <v>489.20764447982185</v>
      </c>
      <c r="N111" s="59">
        <f>ABS(A111*Table!$AE$9/$AC$16)</f>
        <v>617.8466114407297</v>
      </c>
      <c r="O111" s="59">
        <f>($L111*(Table!$AC$10/Table!$AC$9)/(Table!$AC$12-Table!$AC$14))</f>
        <v>3060.6083863852718</v>
      </c>
      <c r="P111" s="59">
        <f>ROUND(($N111*(Table!$AE$10/Table!$AE$9)/(Table!$AC$12-Table!$AC$13)),2)</f>
        <v>5072.63</v>
      </c>
      <c r="Q111" s="59">
        <f>'Raw Data'!C111</f>
        <v>1.5174000000000001</v>
      </c>
      <c r="R111" s="59">
        <f>'Raw Data'!C111/'Raw Data'!I$30*100</f>
        <v>13.802119048746855</v>
      </c>
      <c r="S111" s="109">
        <f t="shared" si="7"/>
        <v>6.7231980617807302E-2</v>
      </c>
      <c r="T111" s="109">
        <f t="shared" si="8"/>
        <v>1.403027676316615E-5</v>
      </c>
      <c r="U111" s="77">
        <f t="shared" si="9"/>
        <v>2.1719735921351163E-3</v>
      </c>
      <c r="V111" s="77">
        <f t="shared" si="10"/>
        <v>1.2519700043237962E-2</v>
      </c>
      <c r="W111" s="77">
        <f t="shared" si="11"/>
        <v>1.7483025586364244E-6</v>
      </c>
      <c r="X111" s="86">
        <f t="shared" si="12"/>
        <v>0.48017441363241359</v>
      </c>
      <c r="Z111" s="158"/>
      <c r="AS111" s="118"/>
      <c r="AT111" s="118"/>
    </row>
    <row r="112" spans="1:46" x14ac:dyDescent="0.2">
      <c r="A112" s="59">
        <v>6942.5107421875</v>
      </c>
      <c r="B112" s="158">
        <v>0.93148430356598599</v>
      </c>
      <c r="C112" s="158">
        <f t="shared" si="1"/>
        <v>6.8515696434014006E-2</v>
      </c>
      <c r="D112" s="60">
        <f t="shared" si="2"/>
        <v>6.5224017067967432E-3</v>
      </c>
      <c r="E112" s="58">
        <f>(2*Table!$AC$16*0.147)/A112</f>
        <v>1.3202008418689784E-2</v>
      </c>
      <c r="F112" s="58">
        <f t="shared" si="3"/>
        <v>2.6404016837379567E-2</v>
      </c>
      <c r="G112" s="59">
        <f>IF((('Raw Data'!C112)/('Raw Data'!C$136)*100)&lt;0,0,('Raw Data'!C112)/('Raw Data'!C$136)*100)</f>
        <v>93.148430356598595</v>
      </c>
      <c r="H112" s="59">
        <f t="shared" si="4"/>
        <v>0.65224017067967566</v>
      </c>
      <c r="I112" s="99">
        <f t="shared" si="5"/>
        <v>3.8425331955702413E-2</v>
      </c>
      <c r="J112" s="58">
        <f>'Raw Data'!F112/I112</f>
        <v>0.16974223448000175</v>
      </c>
      <c r="K112" s="74">
        <f t="shared" si="6"/>
        <v>18.506165078545386</v>
      </c>
      <c r="L112" s="59">
        <f>A112*Table!$AC$9/$AC$16</f>
        <v>1558.8537249275921</v>
      </c>
      <c r="M112" s="59">
        <f>A112*Table!$AD$9/$AC$16</f>
        <v>534.46413426088873</v>
      </c>
      <c r="N112" s="59">
        <f>ABS(A112*Table!$AE$9/$AC$16)</f>
        <v>675.00346328564717</v>
      </c>
      <c r="O112" s="59">
        <f>($L112*(Table!$AC$10/Table!$AC$9)/(Table!$AC$12-Table!$AC$14))</f>
        <v>3343.7445837142695</v>
      </c>
      <c r="P112" s="59">
        <f>ROUND(($N112*(Table!$AE$10/Table!$AE$9)/(Table!$AC$12-Table!$AC$13)),2)</f>
        <v>5541.9</v>
      </c>
      <c r="Q112" s="59">
        <f>'Raw Data'!C112</f>
        <v>1.5281</v>
      </c>
      <c r="R112" s="59">
        <f>'Raw Data'!C112/'Raw Data'!I$30*100</f>
        <v>13.899445181488115</v>
      </c>
      <c r="S112" s="109">
        <f t="shared" si="7"/>
        <v>6.4809206541490388E-2</v>
      </c>
      <c r="T112" s="109">
        <f t="shared" si="8"/>
        <v>1.1089773808481418E-5</v>
      </c>
      <c r="U112" s="77">
        <f t="shared" si="9"/>
        <v>2.0020775908959659E-3</v>
      </c>
      <c r="V112" s="77">
        <f t="shared" si="10"/>
        <v>1.0908803161772902E-2</v>
      </c>
      <c r="W112" s="77">
        <f t="shared" si="11"/>
        <v>1.4119740924232126E-6</v>
      </c>
      <c r="X112" s="86">
        <f t="shared" si="12"/>
        <v>0.48017582560650601</v>
      </c>
      <c r="Z112" s="158"/>
      <c r="AS112" s="118"/>
      <c r="AT112" s="118"/>
    </row>
    <row r="113" spans="1:46" x14ac:dyDescent="0.2">
      <c r="A113" s="59">
        <v>7602.466796875</v>
      </c>
      <c r="B113" s="158">
        <v>0.93794574824748544</v>
      </c>
      <c r="C113" s="158">
        <f t="shared" si="1"/>
        <v>6.2054251752514555E-2</v>
      </c>
      <c r="D113" s="60">
        <f t="shared" si="2"/>
        <v>6.4614446814994508E-3</v>
      </c>
      <c r="E113" s="58">
        <f>(2*Table!$AC$16*0.147)/A113</f>
        <v>1.205596653218907E-2</v>
      </c>
      <c r="F113" s="58">
        <f t="shared" si="3"/>
        <v>2.411193306437814E-2</v>
      </c>
      <c r="G113" s="59">
        <f>IF((('Raw Data'!C113)/('Raw Data'!C$136)*100)&lt;0,0,('Raw Data'!C113)/('Raw Data'!C$136)*100)</f>
        <v>93.794574824748551</v>
      </c>
      <c r="H113" s="59">
        <f t="shared" si="4"/>
        <v>0.64614446814995574</v>
      </c>
      <c r="I113" s="99">
        <f t="shared" si="5"/>
        <v>3.9437971667012794E-2</v>
      </c>
      <c r="J113" s="58">
        <f>'Raw Data'!F113/I113</f>
        <v>0.16383815922521222</v>
      </c>
      <c r="K113" s="74">
        <f t="shared" si="6"/>
        <v>20.26536375265275</v>
      </c>
      <c r="L113" s="59">
        <f>A113*Table!$AC$9/$AC$16</f>
        <v>1707.0385808596943</v>
      </c>
      <c r="M113" s="59">
        <f>A113*Table!$AD$9/$AC$16</f>
        <v>585.27037058046665</v>
      </c>
      <c r="N113" s="59">
        <f>ABS(A113*Table!$AE$9/$AC$16)</f>
        <v>739.16938813231604</v>
      </c>
      <c r="O113" s="59">
        <f>($L113*(Table!$AC$10/Table!$AC$9)/(Table!$AC$12-Table!$AC$14))</f>
        <v>3661.6014175454625</v>
      </c>
      <c r="P113" s="59">
        <f>ROUND(($N113*(Table!$AE$10/Table!$AE$9)/(Table!$AC$12-Table!$AC$13)),2)</f>
        <v>6068.71</v>
      </c>
      <c r="Q113" s="59">
        <f>'Raw Data'!C113</f>
        <v>1.5387</v>
      </c>
      <c r="R113" s="59">
        <f>'Raw Data'!C113/'Raw Data'!I$30*100</f>
        <v>13.99586172420376</v>
      </c>
      <c r="S113" s="109">
        <f t="shared" si="7"/>
        <v>6.4203513022409772E-2</v>
      </c>
      <c r="T113" s="109">
        <f t="shared" si="8"/>
        <v>8.6605486830926282E-6</v>
      </c>
      <c r="U113" s="77">
        <f t="shared" si="9"/>
        <v>1.8409632160388744E-3</v>
      </c>
      <c r="V113" s="77">
        <f t="shared" si="10"/>
        <v>9.4659493958502774E-3</v>
      </c>
      <c r="W113" s="77">
        <f t="shared" si="11"/>
        <v>1.1664681160416157E-6</v>
      </c>
      <c r="X113" s="86">
        <f t="shared" si="12"/>
        <v>0.48017699207462206</v>
      </c>
      <c r="Z113" s="158"/>
      <c r="AS113" s="118"/>
      <c r="AT113" s="118"/>
    </row>
    <row r="114" spans="1:46" x14ac:dyDescent="0.2">
      <c r="A114" s="59">
        <v>8312.4638671875</v>
      </c>
      <c r="B114" s="158">
        <v>0.94404145077720203</v>
      </c>
      <c r="C114" s="158">
        <f t="shared" si="1"/>
        <v>5.5958549222797971E-2</v>
      </c>
      <c r="D114" s="60">
        <f t="shared" si="2"/>
        <v>6.0957025297165846E-3</v>
      </c>
      <c r="E114" s="58">
        <f>(2*Table!$AC$16*0.147)/A114</f>
        <v>1.1026223599840427E-2</v>
      </c>
      <c r="F114" s="58">
        <f t="shared" si="3"/>
        <v>2.2052447199680855E-2</v>
      </c>
      <c r="G114" s="59">
        <f>IF((('Raw Data'!C114)/('Raw Data'!C$136)*100)&lt;0,0,('Raw Data'!C114)/('Raw Data'!C$136)*100)</f>
        <v>94.404145077720202</v>
      </c>
      <c r="H114" s="59">
        <f t="shared" si="4"/>
        <v>0.60957025297165046</v>
      </c>
      <c r="I114" s="99">
        <f t="shared" si="5"/>
        <v>3.8775238437623649E-2</v>
      </c>
      <c r="J114" s="58">
        <f>'Raw Data'!F114/I114</f>
        <v>0.1572060617892144</v>
      </c>
      <c r="K114" s="74">
        <f t="shared" si="6"/>
        <v>22.157953260457631</v>
      </c>
      <c r="L114" s="59">
        <f>A114*Table!$AC$9/$AC$16</f>
        <v>1866.4595193133789</v>
      </c>
      <c r="M114" s="59">
        <f>A114*Table!$AD$9/$AC$16</f>
        <v>639.92897805030134</v>
      </c>
      <c r="N114" s="59">
        <f>ABS(A114*Table!$AE$9/$AC$16)</f>
        <v>808.20067943033916</v>
      </c>
      <c r="O114" s="59">
        <f>($L114*(Table!$AC$10/Table!$AC$9)/(Table!$AC$12-Table!$AC$14))</f>
        <v>4003.5596724868706</v>
      </c>
      <c r="P114" s="59">
        <f>ROUND(($N114*(Table!$AE$10/Table!$AE$9)/(Table!$AC$12-Table!$AC$13)),2)</f>
        <v>6635.47</v>
      </c>
      <c r="Q114" s="59">
        <f>'Raw Data'!C114</f>
        <v>1.5487</v>
      </c>
      <c r="R114" s="59">
        <f>'Raw Data'!C114/'Raw Data'!I$30*100</f>
        <v>14.086820726765687</v>
      </c>
      <c r="S114" s="109">
        <f t="shared" si="7"/>
        <v>6.0569351907934957E-2</v>
      </c>
      <c r="T114" s="109">
        <f t="shared" si="8"/>
        <v>6.7435958716055566E-6</v>
      </c>
      <c r="U114" s="77">
        <f t="shared" si="9"/>
        <v>1.6946624913910062E-3</v>
      </c>
      <c r="V114" s="77">
        <f t="shared" si="10"/>
        <v>8.2291052296785926E-3</v>
      </c>
      <c r="W114" s="77">
        <f t="shared" si="11"/>
        <v>9.2048460685704676E-7</v>
      </c>
      <c r="X114" s="86">
        <f t="shared" si="12"/>
        <v>0.48017791255922893</v>
      </c>
      <c r="Z114" s="158"/>
      <c r="AS114" s="118"/>
      <c r="AT114" s="118"/>
    </row>
    <row r="115" spans="1:46" x14ac:dyDescent="0.2">
      <c r="A115" s="59">
        <v>9092.8671875</v>
      </c>
      <c r="B115" s="158">
        <v>0.94989332520572989</v>
      </c>
      <c r="C115" s="158">
        <f t="shared" si="1"/>
        <v>5.0106674794270112E-2</v>
      </c>
      <c r="D115" s="60">
        <f t="shared" si="2"/>
        <v>5.851874428527859E-3</v>
      </c>
      <c r="E115" s="58">
        <f>(2*Table!$AC$16*0.147)/A115</f>
        <v>1.0079888265738912E-2</v>
      </c>
      <c r="F115" s="58">
        <f t="shared" si="3"/>
        <v>2.0159776531477824E-2</v>
      </c>
      <c r="G115" s="59">
        <f>IF((('Raw Data'!C115)/('Raw Data'!C$136)*100)&lt;0,0,('Raw Data'!C115)/('Raw Data'!C$136)*100)</f>
        <v>94.989332520572987</v>
      </c>
      <c r="H115" s="59">
        <f t="shared" si="4"/>
        <v>0.58518744285278501</v>
      </c>
      <c r="I115" s="99">
        <f t="shared" si="5"/>
        <v>3.8971077215129268E-2</v>
      </c>
      <c r="J115" s="58">
        <f>'Raw Data'!F115/I115</f>
        <v>0.15015942197913013</v>
      </c>
      <c r="K115" s="74">
        <f t="shared" si="6"/>
        <v>24.23821978216235</v>
      </c>
      <c r="L115" s="59">
        <f>A115*Table!$AC$9/$AC$16</f>
        <v>2041.6892982782849</v>
      </c>
      <c r="M115" s="59">
        <f>A115*Table!$AD$9/$AC$16</f>
        <v>700.00775940969777</v>
      </c>
      <c r="N115" s="59">
        <f>ABS(A115*Table!$AE$9/$AC$16)</f>
        <v>884.07739947190964</v>
      </c>
      <c r="O115" s="59">
        <f>($L115*(Table!$AC$10/Table!$AC$9)/(Table!$AC$12-Table!$AC$14))</f>
        <v>4379.4279242348457</v>
      </c>
      <c r="P115" s="59">
        <f>ROUND(($N115*(Table!$AE$10/Table!$AE$9)/(Table!$AC$12-Table!$AC$13)),2)</f>
        <v>7258.44</v>
      </c>
      <c r="Q115" s="59">
        <f>'Raw Data'!C115</f>
        <v>1.5583</v>
      </c>
      <c r="R115" s="59">
        <f>'Raw Data'!C115/'Raw Data'!I$30*100</f>
        <v>14.174141369225135</v>
      </c>
      <c r="S115" s="109">
        <f t="shared" si="7"/>
        <v>5.8146577831616947E-2</v>
      </c>
      <c r="T115" s="109">
        <f t="shared" si="8"/>
        <v>5.205651946948997E-6</v>
      </c>
      <c r="U115" s="77">
        <f t="shared" si="9"/>
        <v>1.5588197954447616E-3</v>
      </c>
      <c r="V115" s="77">
        <f t="shared" si="10"/>
        <v>7.1448116305456938E-3</v>
      </c>
      <c r="W115" s="77">
        <f t="shared" si="11"/>
        <v>7.3849168346297212E-7</v>
      </c>
      <c r="X115" s="86">
        <f t="shared" si="12"/>
        <v>0.4801786510509124</v>
      </c>
      <c r="Z115" s="158"/>
      <c r="AS115" s="118"/>
      <c r="AT115" s="118"/>
    </row>
    <row r="116" spans="1:46" x14ac:dyDescent="0.2">
      <c r="A116" s="59">
        <v>9952.337890625</v>
      </c>
      <c r="B116" s="158">
        <v>0.95531850045717759</v>
      </c>
      <c r="C116" s="158">
        <f t="shared" si="1"/>
        <v>4.4681499542822412E-2</v>
      </c>
      <c r="D116" s="60">
        <f t="shared" si="2"/>
        <v>5.4251752514477003E-3</v>
      </c>
      <c r="E116" s="58">
        <f>(2*Table!$AC$16*0.147)/A116</f>
        <v>9.2094024813548364E-3</v>
      </c>
      <c r="F116" s="58">
        <f t="shared" si="3"/>
        <v>1.8418804962709673E-2</v>
      </c>
      <c r="G116" s="59">
        <f>IF((('Raw Data'!C116)/('Raw Data'!C$136)*100)&lt;0,0,('Raw Data'!C116)/('Raw Data'!C$136)*100)</f>
        <v>95.531850045717761</v>
      </c>
      <c r="H116" s="59">
        <f t="shared" si="4"/>
        <v>0.54251752514477403</v>
      </c>
      <c r="I116" s="99">
        <f t="shared" si="5"/>
        <v>3.9224264547718102E-2</v>
      </c>
      <c r="J116" s="58">
        <f>'Raw Data'!F116/I116</f>
        <v>0.13831171378236368</v>
      </c>
      <c r="K116" s="74">
        <f t="shared" si="6"/>
        <v>26.529250693436552</v>
      </c>
      <c r="L116" s="59">
        <f>A116*Table!$AC$9/$AC$16</f>
        <v>2234.672666512929</v>
      </c>
      <c r="M116" s="59">
        <f>A116*Table!$AD$9/$AC$16</f>
        <v>766.17348566157568</v>
      </c>
      <c r="N116" s="59">
        <f>ABS(A116*Table!$AE$9/$AC$16)</f>
        <v>967.64164917145399</v>
      </c>
      <c r="O116" s="59">
        <f>($L116*(Table!$AC$10/Table!$AC$9)/(Table!$AC$12-Table!$AC$14))</f>
        <v>4793.377663047896</v>
      </c>
      <c r="P116" s="59">
        <f>ROUND(($N116*(Table!$AE$10/Table!$AE$9)/(Table!$AC$12-Table!$AC$13)),2)</f>
        <v>7944.51</v>
      </c>
      <c r="Q116" s="59">
        <f>'Raw Data'!C116</f>
        <v>1.5671999999999999</v>
      </c>
      <c r="R116" s="59">
        <f>'Raw Data'!C116/'Raw Data'!I$30*100</f>
        <v>14.255094881505251</v>
      </c>
      <c r="S116" s="109">
        <f t="shared" si="7"/>
        <v>5.3906723198061515E-2</v>
      </c>
      <c r="T116" s="109">
        <f t="shared" si="8"/>
        <v>4.015477161223302E-6</v>
      </c>
      <c r="U116" s="77">
        <f t="shared" si="9"/>
        <v>1.4323363051141384E-3</v>
      </c>
      <c r="V116" s="77">
        <f t="shared" si="10"/>
        <v>6.1922002237063227E-3</v>
      </c>
      <c r="W116" s="77">
        <f t="shared" si="11"/>
        <v>5.7149949815710125E-7</v>
      </c>
      <c r="X116" s="86">
        <f t="shared" si="12"/>
        <v>0.48017922255041057</v>
      </c>
      <c r="Z116" s="158"/>
      <c r="AS116" s="118"/>
      <c r="AT116" s="118"/>
    </row>
    <row r="117" spans="1:46" x14ac:dyDescent="0.2">
      <c r="A117" s="59">
        <v>10890.92578125</v>
      </c>
      <c r="B117" s="158">
        <v>0.96056080463273397</v>
      </c>
      <c r="C117" s="158">
        <f t="shared" si="1"/>
        <v>3.9439195367266033E-2</v>
      </c>
      <c r="D117" s="60">
        <f t="shared" si="2"/>
        <v>5.2423041755563782E-3</v>
      </c>
      <c r="E117" s="58">
        <f>(2*Table!$AC$16*0.147)/A117</f>
        <v>8.415729489498364E-3</v>
      </c>
      <c r="F117" s="58">
        <f t="shared" si="3"/>
        <v>1.6831458978996728E-2</v>
      </c>
      <c r="G117" s="59">
        <f>IF((('Raw Data'!C117)/('Raw Data'!C$136)*100)&lt;0,0,('Raw Data'!C117)/('Raw Data'!C$136)*100)</f>
        <v>96.056080463273403</v>
      </c>
      <c r="H117" s="59">
        <f t="shared" si="4"/>
        <v>0.5242304175556427</v>
      </c>
      <c r="I117" s="99">
        <f t="shared" si="5"/>
        <v>3.9139686175065247E-2</v>
      </c>
      <c r="J117" s="58">
        <f>'Raw Data'!F117/I117</f>
        <v>0.13393832929851382</v>
      </c>
      <c r="K117" s="74">
        <f t="shared" si="6"/>
        <v>29.03117875515057</v>
      </c>
      <c r="L117" s="59">
        <f>A117*Table!$AC$9/$AC$16</f>
        <v>2445.4208070353161</v>
      </c>
      <c r="M117" s="59">
        <f>A117*Table!$AD$9/$AC$16</f>
        <v>838.42999098353698</v>
      </c>
      <c r="N117" s="59">
        <f>ABS(A117*Table!$AE$9/$AC$16)</f>
        <v>1058.8982709178138</v>
      </c>
      <c r="O117" s="59">
        <f>($L117*(Table!$AC$10/Table!$AC$9)/(Table!$AC$12-Table!$AC$14))</f>
        <v>5245.4328765236296</v>
      </c>
      <c r="P117" s="59">
        <f>ROUND(($N117*(Table!$AE$10/Table!$AE$9)/(Table!$AC$12-Table!$AC$13)),2)</f>
        <v>8693.75</v>
      </c>
      <c r="Q117" s="59">
        <f>'Raw Data'!C117</f>
        <v>1.5758000000000001</v>
      </c>
      <c r="R117" s="59">
        <f>'Raw Data'!C117/'Raw Data'!I$30*100</f>
        <v>14.33331962370851</v>
      </c>
      <c r="S117" s="109">
        <f t="shared" si="7"/>
        <v>5.2089642640825211E-2</v>
      </c>
      <c r="T117" s="109">
        <f t="shared" si="8"/>
        <v>3.0551044357673973E-6</v>
      </c>
      <c r="U117" s="77">
        <f t="shared" si="9"/>
        <v>1.3160790837804619E-3</v>
      </c>
      <c r="V117" s="77">
        <f t="shared" si="10"/>
        <v>5.3663468026288455E-3</v>
      </c>
      <c r="W117" s="77">
        <f t="shared" si="11"/>
        <v>4.6115288039639902E-7</v>
      </c>
      <c r="X117" s="86">
        <f t="shared" si="12"/>
        <v>0.48017968370329095</v>
      </c>
      <c r="Z117" s="158"/>
      <c r="AS117" s="118"/>
      <c r="AT117" s="118"/>
    </row>
    <row r="118" spans="1:46" x14ac:dyDescent="0.2">
      <c r="A118" s="59">
        <v>11893.7421875</v>
      </c>
      <c r="B118" s="158">
        <v>0.9652544955806156</v>
      </c>
      <c r="C118" s="158">
        <f t="shared" si="1"/>
        <v>3.4745504419384399E-2</v>
      </c>
      <c r="D118" s="60">
        <f t="shared" si="2"/>
        <v>4.6936909478816347E-3</v>
      </c>
      <c r="E118" s="58">
        <f>(2*Table!$AC$16*0.147)/A118</f>
        <v>7.7061604178313738E-3</v>
      </c>
      <c r="F118" s="58">
        <f t="shared" si="3"/>
        <v>1.5412320835662748E-2</v>
      </c>
      <c r="G118" s="59">
        <f>IF((('Raw Data'!C118)/('Raw Data'!C$136)*100)&lt;0,0,('Raw Data'!C118)/('Raw Data'!C$136)*100)</f>
        <v>96.525449558061567</v>
      </c>
      <c r="H118" s="59">
        <f t="shared" si="4"/>
        <v>0.46936909478816347</v>
      </c>
      <c r="I118" s="99">
        <f t="shared" si="5"/>
        <v>3.8253721909616178E-2</v>
      </c>
      <c r="J118" s="58">
        <f>'Raw Data'!F118/I118</f>
        <v>0.12269893525580683</v>
      </c>
      <c r="K118" s="74">
        <f t="shared" si="6"/>
        <v>31.704316276532158</v>
      </c>
      <c r="L118" s="59">
        <f>A118*Table!$AC$9/$AC$16</f>
        <v>2670.5906552866068</v>
      </c>
      <c r="M118" s="59">
        <f>A118*Table!$AD$9/$AC$16</f>
        <v>915.63108181255086</v>
      </c>
      <c r="N118" s="59">
        <f>ABS(A118*Table!$AE$9/$AC$16)</f>
        <v>1156.399675293766</v>
      </c>
      <c r="O118" s="59">
        <f>($L118*(Table!$AC$10/Table!$AC$9)/(Table!$AC$12-Table!$AC$14))</f>
        <v>5728.4226840124556</v>
      </c>
      <c r="P118" s="59">
        <f>ROUND(($N118*(Table!$AE$10/Table!$AE$9)/(Table!$AC$12-Table!$AC$13)),2)</f>
        <v>9494.25</v>
      </c>
      <c r="Q118" s="59">
        <f>'Raw Data'!C118</f>
        <v>1.5834999999999999</v>
      </c>
      <c r="R118" s="59">
        <f>'Raw Data'!C118/'Raw Data'!I$30*100</f>
        <v>14.403358055681192</v>
      </c>
      <c r="S118" s="109">
        <f t="shared" si="7"/>
        <v>4.6638400969108575E-2</v>
      </c>
      <c r="T118" s="109">
        <f t="shared" si="8"/>
        <v>2.3341220615202829E-6</v>
      </c>
      <c r="U118" s="77">
        <f t="shared" si="9"/>
        <v>1.2110030492184982E-3</v>
      </c>
      <c r="V118" s="77">
        <f t="shared" si="10"/>
        <v>4.6619916452874076E-3</v>
      </c>
      <c r="W118" s="77">
        <f t="shared" si="11"/>
        <v>3.4620214609872234E-7</v>
      </c>
      <c r="X118" s="86">
        <f t="shared" si="12"/>
        <v>0.48018002990543707</v>
      </c>
      <c r="Z118" s="158"/>
      <c r="AS118" s="118"/>
      <c r="AT118" s="118"/>
    </row>
    <row r="119" spans="1:46" x14ac:dyDescent="0.2">
      <c r="A119" s="59">
        <v>12993.474609375</v>
      </c>
      <c r="B119" s="158">
        <v>0.96964340140201155</v>
      </c>
      <c r="C119" s="158">
        <f t="shared" si="1"/>
        <v>3.0356598597988449E-2</v>
      </c>
      <c r="D119" s="60">
        <f t="shared" si="2"/>
        <v>4.3889058213959498E-3</v>
      </c>
      <c r="E119" s="58">
        <f>(2*Table!$AC$16*0.147)/A119</f>
        <v>7.0539319174159178E-3</v>
      </c>
      <c r="F119" s="58">
        <f t="shared" si="3"/>
        <v>1.4107863834831836E-2</v>
      </c>
      <c r="G119" s="59">
        <f>IF((('Raw Data'!C119)/('Raw Data'!C$136)*100)&lt;0,0,('Raw Data'!C119)/('Raw Data'!C$136)*100)</f>
        <v>96.964340140201159</v>
      </c>
      <c r="H119" s="59">
        <f t="shared" si="4"/>
        <v>0.43889058213959231</v>
      </c>
      <c r="I119" s="99">
        <f t="shared" si="5"/>
        <v>3.8406781743031804E-2</v>
      </c>
      <c r="J119" s="58">
        <f>'Raw Data'!F119/I119</f>
        <v>0.11427424069948884</v>
      </c>
      <c r="K119" s="74">
        <f t="shared" si="6"/>
        <v>34.635796039001292</v>
      </c>
      <c r="L119" s="59">
        <f>A119*Table!$AC$9/$AC$16</f>
        <v>2917.5217794757391</v>
      </c>
      <c r="M119" s="59">
        <f>A119*Table!$AD$9/$AC$16</f>
        <v>1000.293181534539</v>
      </c>
      <c r="N119" s="59">
        <f>ABS(A119*Table!$AE$9/$AC$16)</f>
        <v>1263.3239885601854</v>
      </c>
      <c r="O119" s="59">
        <f>($L119*(Table!$AC$10/Table!$AC$9)/(Table!$AC$12-Table!$AC$14))</f>
        <v>6258.0904750659365</v>
      </c>
      <c r="P119" s="59">
        <f>ROUND(($N119*(Table!$AE$10/Table!$AE$9)/(Table!$AC$12-Table!$AC$13)),2)</f>
        <v>10372.120000000001</v>
      </c>
      <c r="Q119" s="59">
        <f>'Raw Data'!C119</f>
        <v>1.5907</v>
      </c>
      <c r="R119" s="59">
        <f>'Raw Data'!C119/'Raw Data'!I$30*100</f>
        <v>14.46884853752578</v>
      </c>
      <c r="S119" s="109">
        <f t="shared" si="7"/>
        <v>4.3609933373713258E-2</v>
      </c>
      <c r="T119" s="109">
        <f t="shared" si="8"/>
        <v>1.7692464097107674E-6</v>
      </c>
      <c r="U119" s="77">
        <f t="shared" si="9"/>
        <v>1.1135472975863034E-3</v>
      </c>
      <c r="V119" s="77">
        <f t="shared" si="10"/>
        <v>4.045360725280482E-3</v>
      </c>
      <c r="W119" s="77">
        <f t="shared" si="11"/>
        <v>2.7124264049658067E-7</v>
      </c>
      <c r="X119" s="86">
        <f t="shared" si="12"/>
        <v>0.48018030114807758</v>
      </c>
      <c r="Z119" s="158"/>
      <c r="AS119" s="118"/>
      <c r="AT119" s="118"/>
    </row>
    <row r="120" spans="1:46" x14ac:dyDescent="0.2">
      <c r="A120" s="59">
        <v>14291.7177734375</v>
      </c>
      <c r="B120" s="158">
        <v>0.97391039317281303</v>
      </c>
      <c r="C120" s="158">
        <f t="shared" si="1"/>
        <v>2.6089606827186973E-2</v>
      </c>
      <c r="D120" s="60">
        <f t="shared" si="2"/>
        <v>4.266991770801476E-3</v>
      </c>
      <c r="E120" s="58">
        <f>(2*Table!$AC$16*0.147)/A120</f>
        <v>6.4131608752835316E-3</v>
      </c>
      <c r="F120" s="58">
        <f t="shared" si="3"/>
        <v>1.2826321750567063E-2</v>
      </c>
      <c r="G120" s="59">
        <f>IF((('Raw Data'!C120)/('Raw Data'!C$136)*100)&lt;0,0,('Raw Data'!C120)/('Raw Data'!C$136)*100)</f>
        <v>97.391039317281297</v>
      </c>
      <c r="H120" s="59">
        <f t="shared" si="4"/>
        <v>0.42669917708013827</v>
      </c>
      <c r="I120" s="99">
        <f t="shared" si="5"/>
        <v>4.135912925408558E-2</v>
      </c>
      <c r="J120" s="58">
        <f>'Raw Data'!F120/I120</f>
        <v>0.10316928445441026</v>
      </c>
      <c r="K120" s="74">
        <f t="shared" si="6"/>
        <v>38.096431995995658</v>
      </c>
      <c r="L120" s="59">
        <f>A120*Table!$AC$9/$AC$16</f>
        <v>3209.0260014084147</v>
      </c>
      <c r="M120" s="59">
        <f>A120*Table!$AD$9/$AC$16</f>
        <v>1100.2374861971707</v>
      </c>
      <c r="N120" s="59">
        <f>ABS(A120*Table!$AE$9/$AC$16)</f>
        <v>1389.5490193122425</v>
      </c>
      <c r="O120" s="59">
        <f>($L120*(Table!$AC$10/Table!$AC$9)/(Table!$AC$12-Table!$AC$14))</f>
        <v>6883.3676563887075</v>
      </c>
      <c r="P120" s="59">
        <f>ROUND(($N120*(Table!$AE$10/Table!$AE$9)/(Table!$AC$12-Table!$AC$13)),2)</f>
        <v>11408.45</v>
      </c>
      <c r="Q120" s="59">
        <f>'Raw Data'!C120</f>
        <v>1.5976999999999999</v>
      </c>
      <c r="R120" s="59">
        <f>'Raw Data'!C120/'Raw Data'!I$30*100</f>
        <v>14.53251983931913</v>
      </c>
      <c r="S120" s="109">
        <f t="shared" si="7"/>
        <v>4.239854633555315E-2</v>
      </c>
      <c r="T120" s="109">
        <f t="shared" si="8"/>
        <v>1.315304646087867E-6</v>
      </c>
      <c r="U120" s="77">
        <f t="shared" si="9"/>
        <v>1.0168490638913388E-3</v>
      </c>
      <c r="V120" s="77">
        <f t="shared" si="10"/>
        <v>3.4693141354019013E-3</v>
      </c>
      <c r="W120" s="77">
        <f t="shared" si="11"/>
        <v>2.1797427838118173E-7</v>
      </c>
      <c r="X120" s="86">
        <f t="shared" si="12"/>
        <v>0.48018051912235599</v>
      </c>
      <c r="Z120" s="158"/>
      <c r="AS120" s="118"/>
      <c r="AT120" s="118"/>
    </row>
    <row r="121" spans="1:46" x14ac:dyDescent="0.2">
      <c r="A121" s="59">
        <v>15593.1416015625</v>
      </c>
      <c r="B121" s="158">
        <v>0.97781164279183175</v>
      </c>
      <c r="C121" s="158">
        <f t="shared" si="1"/>
        <v>2.2188357208168252E-2</v>
      </c>
      <c r="D121" s="60">
        <f t="shared" si="2"/>
        <v>3.9012496190187207E-3</v>
      </c>
      <c r="E121" s="58">
        <f>(2*Table!$AC$16*0.147)/A121</f>
        <v>5.8779101483962285E-3</v>
      </c>
      <c r="F121" s="58">
        <f t="shared" si="3"/>
        <v>1.1755820296792457E-2</v>
      </c>
      <c r="G121" s="59">
        <f>IF((('Raw Data'!C121)/('Raw Data'!C$136)*100)&lt;0,0,('Raw Data'!C121)/('Raw Data'!C$136)*100)</f>
        <v>97.781164279183173</v>
      </c>
      <c r="H121" s="59">
        <f t="shared" si="4"/>
        <v>0.39012496190187562</v>
      </c>
      <c r="I121" s="99">
        <f t="shared" si="5"/>
        <v>3.7849191384591307E-2</v>
      </c>
      <c r="J121" s="58">
        <f>'Raw Data'!F121/I121</f>
        <v>0.10307352617860546</v>
      </c>
      <c r="K121" s="74">
        <f t="shared" si="6"/>
        <v>41.565546426612308</v>
      </c>
      <c r="L121" s="59">
        <f>A121*Table!$AC$9/$AC$16</f>
        <v>3501.2444015693563</v>
      </c>
      <c r="M121" s="59">
        <f>A121*Table!$AD$9/$AC$16</f>
        <v>1200.4266519666364</v>
      </c>
      <c r="N121" s="59">
        <f>ABS(A121*Table!$AE$9/$AC$16)</f>
        <v>1516.0832983085536</v>
      </c>
      <c r="O121" s="59">
        <f>($L121*(Table!$AC$10/Table!$AC$9)/(Table!$AC$12-Table!$AC$14))</f>
        <v>7510.176751543022</v>
      </c>
      <c r="P121" s="59">
        <f>ROUND(($N121*(Table!$AE$10/Table!$AE$9)/(Table!$AC$12-Table!$AC$13)),2)</f>
        <v>12447.32</v>
      </c>
      <c r="Q121" s="59">
        <f>'Raw Data'!C121</f>
        <v>1.6041000000000001</v>
      </c>
      <c r="R121" s="59">
        <f>'Raw Data'!C121/'Raw Data'!I$30*100</f>
        <v>14.590733600958764</v>
      </c>
      <c r="S121" s="109">
        <f t="shared" si="7"/>
        <v>3.8764385221079431E-2</v>
      </c>
      <c r="T121" s="109">
        <f t="shared" si="8"/>
        <v>9.6665944493423694E-7</v>
      </c>
      <c r="U121" s="77">
        <f t="shared" si="9"/>
        <v>9.3571481448592177E-4</v>
      </c>
      <c r="V121" s="77">
        <f t="shared" si="10"/>
        <v>3.0142312170057593E-3</v>
      </c>
      <c r="W121" s="77">
        <f t="shared" si="11"/>
        <v>1.6741285384673788E-7</v>
      </c>
      <c r="X121" s="86">
        <f t="shared" si="12"/>
        <v>0.48018068653520984</v>
      </c>
      <c r="Z121" s="158"/>
      <c r="AS121" s="118"/>
      <c r="AT121" s="118"/>
    </row>
    <row r="122" spans="1:46" x14ac:dyDescent="0.2">
      <c r="A122" s="59">
        <v>17093.26953125</v>
      </c>
      <c r="B122" s="158">
        <v>0.98134715025906738</v>
      </c>
      <c r="C122" s="158">
        <f t="shared" si="1"/>
        <v>1.865284974093262E-2</v>
      </c>
      <c r="D122" s="60">
        <f t="shared" si="2"/>
        <v>3.5355074672356324E-3</v>
      </c>
      <c r="E122" s="58">
        <f>(2*Table!$AC$16*0.147)/A122</f>
        <v>5.3620569837525443E-3</v>
      </c>
      <c r="F122" s="58">
        <f t="shared" si="3"/>
        <v>1.0724113967505089E-2</v>
      </c>
      <c r="G122" s="59">
        <f>IF((('Raw Data'!C122)/('Raw Data'!C$136)*100)&lt;0,0,('Raw Data'!C122)/('Raw Data'!C$136)*100)</f>
        <v>98.134715025906743</v>
      </c>
      <c r="H122" s="59">
        <f t="shared" si="4"/>
        <v>0.35355074672357034</v>
      </c>
      <c r="I122" s="99">
        <f t="shared" si="5"/>
        <v>3.9891518009925075E-2</v>
      </c>
      <c r="J122" s="58">
        <f>'Raw Data'!F122/I122</f>
        <v>8.8628050362886471E-2</v>
      </c>
      <c r="K122" s="74">
        <f t="shared" si="6"/>
        <v>45.564332476309659</v>
      </c>
      <c r="L122" s="59">
        <f>A122*Table!$AC$9/$AC$16</f>
        <v>3838.0793158966835</v>
      </c>
      <c r="M122" s="59">
        <f>A122*Table!$AD$9/$AC$16</f>
        <v>1315.9129083074345</v>
      </c>
      <c r="N122" s="59">
        <f>ABS(A122*Table!$AE$9/$AC$16)</f>
        <v>1661.9370946530639</v>
      </c>
      <c r="O122" s="59">
        <f>($L122*(Table!$AC$10/Table!$AC$9)/(Table!$AC$12-Table!$AC$14))</f>
        <v>8232.6883652867527</v>
      </c>
      <c r="P122" s="59">
        <f>ROUND(($N122*(Table!$AE$10/Table!$AE$9)/(Table!$AC$12-Table!$AC$13)),2)</f>
        <v>13644.8</v>
      </c>
      <c r="Q122" s="59">
        <f>'Raw Data'!C122</f>
        <v>1.6099000000000001</v>
      </c>
      <c r="R122" s="59">
        <f>'Raw Data'!C122/'Raw Data'!I$30*100</f>
        <v>14.643489822444684</v>
      </c>
      <c r="S122" s="109">
        <f t="shared" si="7"/>
        <v>3.5130224106602409E-2</v>
      </c>
      <c r="T122" s="109">
        <f t="shared" si="8"/>
        <v>7.0372427840581508E-7</v>
      </c>
      <c r="U122" s="77">
        <f t="shared" si="9"/>
        <v>8.5668161937500504E-4</v>
      </c>
      <c r="V122" s="77">
        <f t="shared" si="10"/>
        <v>2.5963939223322156E-3</v>
      </c>
      <c r="W122" s="77">
        <f t="shared" si="11"/>
        <v>1.2625651087420985E-7</v>
      </c>
      <c r="X122" s="86">
        <f t="shared" si="12"/>
        <v>0.4801808127917207</v>
      </c>
      <c r="Z122" s="158"/>
      <c r="AS122" s="118"/>
      <c r="AT122" s="118"/>
    </row>
    <row r="123" spans="1:46" x14ac:dyDescent="0.2">
      <c r="A123" s="59">
        <v>18689.8984375</v>
      </c>
      <c r="B123" s="158">
        <v>0.98476074367570854</v>
      </c>
      <c r="C123" s="158">
        <f t="shared" si="1"/>
        <v>1.5239256324291461E-2</v>
      </c>
      <c r="D123" s="60">
        <f t="shared" si="2"/>
        <v>3.4135934166411586E-3</v>
      </c>
      <c r="E123" s="58">
        <f>(2*Table!$AC$16*0.147)/A123</f>
        <v>4.9039905471772918E-3</v>
      </c>
      <c r="F123" s="58">
        <f t="shared" si="3"/>
        <v>9.8079810943545835E-3</v>
      </c>
      <c r="G123" s="59">
        <f>IF((('Raw Data'!C123)/('Raw Data'!C$136)*100)&lt;0,0,('Raw Data'!C123)/('Raw Data'!C$136)*100)</f>
        <v>98.47607436757086</v>
      </c>
      <c r="H123" s="59">
        <f t="shared" si="4"/>
        <v>0.3413593416641163</v>
      </c>
      <c r="I123" s="99">
        <f t="shared" si="5"/>
        <v>3.8781800639031694E-2</v>
      </c>
      <c r="J123" s="58">
        <f>'Raw Data'!F123/I123</f>
        <v>8.8020498285104623E-2</v>
      </c>
      <c r="K123" s="74">
        <f t="shared" si="6"/>
        <v>49.82035442650831</v>
      </c>
      <c r="L123" s="59">
        <f>A123*Table!$AC$9/$AC$16</f>
        <v>4196.5823143451462</v>
      </c>
      <c r="M123" s="59">
        <f>A123*Table!$AD$9/$AC$16</f>
        <v>1438.8282220611929</v>
      </c>
      <c r="N123" s="59">
        <f>ABS(A123*Table!$AE$9/$AC$16)</f>
        <v>1817.1734466476948</v>
      </c>
      <c r="O123" s="59">
        <f>($L123*(Table!$AC$10/Table!$AC$9)/(Table!$AC$12-Table!$AC$14))</f>
        <v>9001.6780659484066</v>
      </c>
      <c r="P123" s="59">
        <f>ROUND(($N123*(Table!$AE$10/Table!$AE$9)/(Table!$AC$12-Table!$AC$13)),2)</f>
        <v>14919.32</v>
      </c>
      <c r="Q123" s="59">
        <f>'Raw Data'!C123</f>
        <v>1.6154999999999999</v>
      </c>
      <c r="R123" s="59">
        <f>'Raw Data'!C123/'Raw Data'!I$30*100</f>
        <v>14.694426863879359</v>
      </c>
      <c r="S123" s="109">
        <f t="shared" si="7"/>
        <v>3.3918837068442301E-2</v>
      </c>
      <c r="T123" s="109">
        <f t="shared" si="8"/>
        <v>4.9137777824448392E-7</v>
      </c>
      <c r="U123" s="77">
        <f t="shared" si="9"/>
        <v>7.8622293818333435E-4</v>
      </c>
      <c r="V123" s="77">
        <f t="shared" si="10"/>
        <v>2.2456428764890137E-3</v>
      </c>
      <c r="W123" s="77">
        <f t="shared" si="11"/>
        <v>1.019647868004993E-7</v>
      </c>
      <c r="X123" s="86">
        <f t="shared" si="12"/>
        <v>0.48018091475650748</v>
      </c>
      <c r="Z123" s="158"/>
      <c r="AS123" s="118"/>
      <c r="AT123" s="118"/>
    </row>
    <row r="124" spans="1:46" x14ac:dyDescent="0.2">
      <c r="A124" s="59">
        <v>20388.283203125</v>
      </c>
      <c r="B124" s="158">
        <v>0.98768668088997258</v>
      </c>
      <c r="C124" s="158">
        <f t="shared" si="1"/>
        <v>1.2313319110027421E-2</v>
      </c>
      <c r="D124" s="60">
        <f t="shared" si="2"/>
        <v>2.9259372142640405E-3</v>
      </c>
      <c r="E124" s="58">
        <f>(2*Table!$AC$16*0.147)/A124</f>
        <v>4.4954783270400754E-3</v>
      </c>
      <c r="F124" s="58">
        <f t="shared" si="3"/>
        <v>8.9909566540801508E-3</v>
      </c>
      <c r="G124" s="59">
        <f>IF((('Raw Data'!C124)/('Raw Data'!C$136)*100)&lt;0,0,('Raw Data'!C124)/('Raw Data'!C$136)*100)</f>
        <v>98.768668088997259</v>
      </c>
      <c r="H124" s="59">
        <f t="shared" si="4"/>
        <v>0.29259372142639961</v>
      </c>
      <c r="I124" s="99">
        <f t="shared" si="5"/>
        <v>3.777371612715319E-2</v>
      </c>
      <c r="J124" s="58">
        <f>'Raw Data'!F124/I124</f>
        <v>7.7459607215101756E-2</v>
      </c>
      <c r="K124" s="74">
        <f t="shared" si="6"/>
        <v>54.347619850607522</v>
      </c>
      <c r="L124" s="59">
        <f>A124*Table!$AC$9/$AC$16</f>
        <v>4577.9333149516788</v>
      </c>
      <c r="M124" s="59">
        <f>A124*Table!$AD$9/$AC$16</f>
        <v>1569.5771365548615</v>
      </c>
      <c r="N124" s="59">
        <f>ABS(A124*Table!$AE$9/$AC$16)</f>
        <v>1982.303273789631</v>
      </c>
      <c r="O124" s="59">
        <f>($L124*(Table!$AC$10/Table!$AC$9)/(Table!$AC$12-Table!$AC$14))</f>
        <v>9819.6767802481336</v>
      </c>
      <c r="P124" s="59">
        <f>ROUND(($N124*(Table!$AE$10/Table!$AE$9)/(Table!$AC$12-Table!$AC$13)),2)</f>
        <v>16275.07</v>
      </c>
      <c r="Q124" s="59">
        <f>'Raw Data'!C124</f>
        <v>1.6203000000000001</v>
      </c>
      <c r="R124" s="59">
        <f>'Raw Data'!C124/'Raw Data'!I$30*100</f>
        <v>14.738087185109086</v>
      </c>
      <c r="S124" s="109">
        <f t="shared" si="7"/>
        <v>2.9073288915809577E-2</v>
      </c>
      <c r="T124" s="109">
        <f t="shared" si="8"/>
        <v>3.3842728364152919E-7</v>
      </c>
      <c r="U124" s="77">
        <f t="shared" si="9"/>
        <v>7.2287043682275887E-4</v>
      </c>
      <c r="V124" s="77">
        <f t="shared" si="10"/>
        <v>1.9482475554139058E-3</v>
      </c>
      <c r="W124" s="77">
        <f t="shared" si="11"/>
        <v>7.3443944478089815E-8</v>
      </c>
      <c r="X124" s="86">
        <f t="shared" si="12"/>
        <v>0.48018098820045196</v>
      </c>
      <c r="Z124" s="158"/>
      <c r="AS124" s="118"/>
      <c r="AT124" s="118"/>
    </row>
    <row r="125" spans="1:46" x14ac:dyDescent="0.2">
      <c r="A125" s="59">
        <v>22293.544921875</v>
      </c>
      <c r="B125" s="158">
        <v>0.98933252057299603</v>
      </c>
      <c r="C125" s="158">
        <f t="shared" si="1"/>
        <v>1.0667479427003967E-2</v>
      </c>
      <c r="D125" s="60">
        <f t="shared" si="2"/>
        <v>1.6458396830234534E-3</v>
      </c>
      <c r="E125" s="58">
        <f>(2*Table!$AC$16*0.147)/A125</f>
        <v>4.1112835839431398E-3</v>
      </c>
      <c r="F125" s="58">
        <f t="shared" si="3"/>
        <v>8.2225671678862796E-3</v>
      </c>
      <c r="G125" s="59">
        <f>IF((('Raw Data'!C125)/('Raw Data'!C$136)*100)&lt;0,0,('Raw Data'!C125)/('Raw Data'!C$136)*100)</f>
        <v>98.933252057299597</v>
      </c>
      <c r="H125" s="59">
        <f t="shared" si="4"/>
        <v>0.16458396830233823</v>
      </c>
      <c r="I125" s="99">
        <f t="shared" si="5"/>
        <v>3.8798474110466774E-2</v>
      </c>
      <c r="J125" s="58">
        <f>'Raw Data'!F125/I125</f>
        <v>4.2420216793511746E-2</v>
      </c>
      <c r="K125" s="74">
        <f t="shared" si="6"/>
        <v>59.426342692296764</v>
      </c>
      <c r="L125" s="59">
        <f>A125*Table!$AC$9/$AC$16</f>
        <v>5005.7359410516956</v>
      </c>
      <c r="M125" s="59">
        <f>A125*Table!$AD$9/$AC$16</f>
        <v>1716.2523226462954</v>
      </c>
      <c r="N125" s="59">
        <f>ABS(A125*Table!$AE$9/$AC$16)</f>
        <v>2167.5472447937859</v>
      </c>
      <c r="O125" s="59">
        <f>($L125*(Table!$AC$10/Table!$AC$9)/(Table!$AC$12-Table!$AC$14))</f>
        <v>10737.31433087022</v>
      </c>
      <c r="P125" s="59">
        <f>ROUND(($N125*(Table!$AE$10/Table!$AE$9)/(Table!$AC$12-Table!$AC$13)),2)</f>
        <v>17795.95</v>
      </c>
      <c r="Q125" s="59">
        <f>'Raw Data'!C125</f>
        <v>1.623</v>
      </c>
      <c r="R125" s="59">
        <f>'Raw Data'!C125/'Raw Data'!I$30*100</f>
        <v>14.762646115800807</v>
      </c>
      <c r="S125" s="109">
        <f t="shared" si="7"/>
        <v>1.6353725015142196E-2</v>
      </c>
      <c r="T125" s="109">
        <f t="shared" si="8"/>
        <v>2.6646971784671791E-7</v>
      </c>
      <c r="U125" s="77">
        <f t="shared" si="9"/>
        <v>6.621937501431331E-4</v>
      </c>
      <c r="V125" s="77">
        <f t="shared" si="10"/>
        <v>1.6798041960518404E-3</v>
      </c>
      <c r="W125" s="77">
        <f t="shared" si="11"/>
        <v>3.45526668008181E-8</v>
      </c>
      <c r="X125" s="86">
        <f t="shared" si="12"/>
        <v>0.48018102275311875</v>
      </c>
      <c r="Z125" s="158"/>
      <c r="AS125" s="118"/>
      <c r="AT125" s="118"/>
    </row>
    <row r="126" spans="1:46" x14ac:dyDescent="0.2">
      <c r="A126" s="59">
        <v>24395.046875</v>
      </c>
      <c r="B126" s="158">
        <v>0.99189271563547698</v>
      </c>
      <c r="C126" s="158">
        <f t="shared" si="1"/>
        <v>8.1072843645230153E-3</v>
      </c>
      <c r="D126" s="60">
        <f t="shared" si="2"/>
        <v>2.5601950624809522E-3</v>
      </c>
      <c r="E126" s="58">
        <f>(2*Table!$AC$16*0.147)/A126</f>
        <v>3.7571186370267485E-3</v>
      </c>
      <c r="F126" s="58">
        <f t="shared" si="3"/>
        <v>7.5142372740534969E-3</v>
      </c>
      <c r="G126" s="59">
        <f>IF((('Raw Data'!C126)/('Raw Data'!C$136)*100)&lt;0,0,('Raw Data'!C126)/('Raw Data'!C$136)*100)</f>
        <v>99.189271563547692</v>
      </c>
      <c r="H126" s="59">
        <f t="shared" si="4"/>
        <v>0.25601950624809433</v>
      </c>
      <c r="I126" s="99">
        <f t="shared" si="5"/>
        <v>3.9122525314804424E-2</v>
      </c>
      <c r="J126" s="58">
        <f>'Raw Data'!F126/I126</f>
        <v>6.5440434682577722E-2</v>
      </c>
      <c r="K126" s="74">
        <f t="shared" si="6"/>
        <v>65.028169394715789</v>
      </c>
      <c r="L126" s="59">
        <f>A126*Table!$AC$9/$AC$16</f>
        <v>5477.6018508391544</v>
      </c>
      <c r="M126" s="59">
        <f>A126*Table!$AD$9/$AC$16</f>
        <v>1878.0349202877103</v>
      </c>
      <c r="N126" s="59">
        <f>ABS(A126*Table!$AE$9/$AC$16)</f>
        <v>2371.8711773216837</v>
      </c>
      <c r="O126" s="59">
        <f>($L126*(Table!$AC$10/Table!$AC$9)/(Table!$AC$12-Table!$AC$14))</f>
        <v>11749.467719517706</v>
      </c>
      <c r="P126" s="59">
        <f>ROUND(($N126*(Table!$AE$10/Table!$AE$9)/(Table!$AC$12-Table!$AC$13)),2)</f>
        <v>19473.490000000002</v>
      </c>
      <c r="Q126" s="59">
        <f>'Raw Data'!C126</f>
        <v>1.6272</v>
      </c>
      <c r="R126" s="59">
        <f>'Raw Data'!C126/'Raw Data'!I$30*100</f>
        <v>14.800848896876815</v>
      </c>
      <c r="S126" s="109">
        <f t="shared" si="7"/>
        <v>2.5439127801332551E-2</v>
      </c>
      <c r="T126" s="109">
        <f t="shared" si="8"/>
        <v>1.7299009746896132E-7</v>
      </c>
      <c r="U126" s="77">
        <f t="shared" si="9"/>
        <v>6.0671532925172188E-4</v>
      </c>
      <c r="V126" s="77">
        <f t="shared" si="10"/>
        <v>1.4487734431033997E-3</v>
      </c>
      <c r="W126" s="77">
        <f t="shared" si="11"/>
        <v>4.4887151651509489E-8</v>
      </c>
      <c r="X126" s="86">
        <f t="shared" si="12"/>
        <v>0.48018106764027041</v>
      </c>
      <c r="Z126" s="158"/>
      <c r="AS126" s="118"/>
      <c r="AT126" s="118"/>
    </row>
    <row r="127" spans="1:46" x14ac:dyDescent="0.2">
      <c r="A127" s="59">
        <v>26696.482421875</v>
      </c>
      <c r="B127" s="158">
        <v>0.99378238341968916</v>
      </c>
      <c r="C127" s="158">
        <f t="shared" si="1"/>
        <v>6.2176165803108363E-3</v>
      </c>
      <c r="D127" s="60">
        <f t="shared" si="2"/>
        <v>1.889667784212179E-3</v>
      </c>
      <c r="E127" s="58">
        <f>(2*Table!$AC$16*0.147)/A127</f>
        <v>3.4332270378101123E-3</v>
      </c>
      <c r="F127" s="58">
        <f t="shared" si="3"/>
        <v>6.8664540756202246E-3</v>
      </c>
      <c r="G127" s="59">
        <f>IF((('Raw Data'!C127)/('Raw Data'!C$136)*100)&lt;0,0,('Raw Data'!C127)/('Raw Data'!C$136)*100)</f>
        <v>99.37823834196891</v>
      </c>
      <c r="H127" s="59">
        <f t="shared" si="4"/>
        <v>0.1889667784212179</v>
      </c>
      <c r="I127" s="99">
        <f t="shared" si="5"/>
        <v>3.9152384741875323E-2</v>
      </c>
      <c r="J127" s="58">
        <f>'Raw Data'!F127/I127</f>
        <v>4.8264436423743305E-2</v>
      </c>
      <c r="K127" s="74">
        <f t="shared" si="6"/>
        <v>71.162945087505179</v>
      </c>
      <c r="L127" s="59">
        <f>A127*Table!$AC$9/$AC$16</f>
        <v>5994.360341845314</v>
      </c>
      <c r="M127" s="59">
        <f>A127*Table!$AD$9/$AC$16</f>
        <v>2055.2092600612505</v>
      </c>
      <c r="N127" s="59">
        <f>ABS(A127*Table!$AE$9/$AC$16)</f>
        <v>2595.6341677380074</v>
      </c>
      <c r="O127" s="59">
        <f>($L127*(Table!$AC$10/Table!$AC$9)/(Table!$AC$12-Table!$AC$14))</f>
        <v>12857.915791173991</v>
      </c>
      <c r="P127" s="59">
        <f>ROUND(($N127*(Table!$AE$10/Table!$AE$9)/(Table!$AC$12-Table!$AC$13)),2)</f>
        <v>21310.63</v>
      </c>
      <c r="Q127" s="59">
        <f>'Raw Data'!C127</f>
        <v>1.6303000000000001</v>
      </c>
      <c r="R127" s="59">
        <f>'Raw Data'!C127/'Raw Data'!I$30*100</f>
        <v>14.829046187671013</v>
      </c>
      <c r="S127" s="109">
        <f t="shared" si="7"/>
        <v>1.8776499091460213E-2</v>
      </c>
      <c r="T127" s="109">
        <f t="shared" si="8"/>
        <v>1.153765557537767E-7</v>
      </c>
      <c r="U127" s="77">
        <f t="shared" si="9"/>
        <v>5.5546816817784756E-4</v>
      </c>
      <c r="V127" s="77">
        <f t="shared" si="10"/>
        <v>1.2479338430200499E-3</v>
      </c>
      <c r="W127" s="77">
        <f t="shared" si="11"/>
        <v>2.766493675709206E-8</v>
      </c>
      <c r="X127" s="86">
        <f t="shared" si="12"/>
        <v>0.48018109530520714</v>
      </c>
      <c r="Z127" s="158"/>
      <c r="AS127" s="118"/>
      <c r="AT127" s="118"/>
    </row>
    <row r="128" spans="1:46" x14ac:dyDescent="0.2">
      <c r="A128" s="59">
        <v>29294.302734375</v>
      </c>
      <c r="B128" s="158">
        <v>0.99536726607741544</v>
      </c>
      <c r="C128" s="158">
        <f t="shared" si="1"/>
        <v>4.6327339225845643E-3</v>
      </c>
      <c r="D128" s="60">
        <f t="shared" si="2"/>
        <v>1.584882657726272E-3</v>
      </c>
      <c r="E128" s="58">
        <f>(2*Table!$AC$16*0.147)/A128</f>
        <v>3.1287682829075235E-3</v>
      </c>
      <c r="F128" s="58">
        <f t="shared" si="3"/>
        <v>6.2575365658150469E-3</v>
      </c>
      <c r="G128" s="59">
        <f>IF((('Raw Data'!C128)/('Raw Data'!C$136)*100)&lt;0,0,('Raw Data'!C128)/('Raw Data'!C$136)*100)</f>
        <v>99.536726607741542</v>
      </c>
      <c r="H128" s="59">
        <f t="shared" si="4"/>
        <v>0.15848826577263253</v>
      </c>
      <c r="I128" s="99">
        <f t="shared" si="5"/>
        <v>4.032912366394914E-2</v>
      </c>
      <c r="J128" s="58">
        <f>'Raw Data'!F128/I128</f>
        <v>3.9298713032612322E-2</v>
      </c>
      <c r="K128" s="74">
        <f t="shared" si="6"/>
        <v>78.087772910295882</v>
      </c>
      <c r="L128" s="59">
        <f>A128*Table!$AC$9/$AC$16</f>
        <v>6577.6683151733032</v>
      </c>
      <c r="M128" s="59">
        <f>A128*Table!$AD$9/$AC$16</f>
        <v>2255.2005652022754</v>
      </c>
      <c r="N128" s="59">
        <f>ABS(A128*Table!$AE$9/$AC$16)</f>
        <v>2848.2139293040345</v>
      </c>
      <c r="O128" s="59">
        <f>($L128*(Table!$AC$10/Table!$AC$9)/(Table!$AC$12-Table!$AC$14))</f>
        <v>14109.112645159381</v>
      </c>
      <c r="P128" s="59">
        <f>ROUND(($N128*(Table!$AE$10/Table!$AE$9)/(Table!$AC$12-Table!$AC$13)),2)</f>
        <v>23384.35</v>
      </c>
      <c r="Q128" s="59">
        <f>'Raw Data'!C128</f>
        <v>1.6329</v>
      </c>
      <c r="R128" s="59">
        <f>'Raw Data'!C128/'Raw Data'!I$30*100</f>
        <v>14.852695528337115</v>
      </c>
      <c r="S128" s="109">
        <f t="shared" si="7"/>
        <v>1.5748031496062694E-2</v>
      </c>
      <c r="T128" s="109">
        <f t="shared" si="8"/>
        <v>7.5245740749352308E-8</v>
      </c>
      <c r="U128" s="77">
        <f t="shared" si="9"/>
        <v>5.0701652341799634E-4</v>
      </c>
      <c r="V128" s="77">
        <f t="shared" si="10"/>
        <v>1.0694618298404009E-3</v>
      </c>
      <c r="W128" s="77">
        <f t="shared" si="11"/>
        <v>1.9270060960881708E-8</v>
      </c>
      <c r="X128" s="86">
        <f t="shared" si="12"/>
        <v>0.48018111457526808</v>
      </c>
      <c r="Z128" s="158"/>
      <c r="AS128" s="118"/>
      <c r="AT128" s="118"/>
    </row>
    <row r="129" spans="1:46" x14ac:dyDescent="0.2">
      <c r="A129" s="59">
        <v>31996.802734375</v>
      </c>
      <c r="B129" s="158">
        <v>0.99676927765925016</v>
      </c>
      <c r="C129" s="158">
        <f t="shared" si="1"/>
        <v>3.2307223407498364E-3</v>
      </c>
      <c r="D129" s="60">
        <f t="shared" si="2"/>
        <v>1.4020115818347278E-3</v>
      </c>
      <c r="E129" s="58">
        <f>(2*Table!$AC$16*0.147)/A129</f>
        <v>2.8645076205297284E-3</v>
      </c>
      <c r="F129" s="58">
        <f t="shared" si="3"/>
        <v>5.7290152410594567E-3</v>
      </c>
      <c r="G129" s="59">
        <f>IF((('Raw Data'!C129)/('Raw Data'!C$136)*100)&lt;0,0,('Raw Data'!C129)/('Raw Data'!C$136)*100)</f>
        <v>99.676927765925015</v>
      </c>
      <c r="H129" s="59">
        <f t="shared" si="4"/>
        <v>0.14020115818347278</v>
      </c>
      <c r="I129" s="99">
        <f t="shared" si="5"/>
        <v>3.8323418463644288E-2</v>
      </c>
      <c r="J129" s="58">
        <f>'Raw Data'!F129/I129</f>
        <v>3.658367750164964E-2</v>
      </c>
      <c r="K129" s="74">
        <f t="shared" si="6"/>
        <v>85.291638051023128</v>
      </c>
      <c r="L129" s="59">
        <f>A129*Table!$AC$9/$AC$16</f>
        <v>7184.4807995987021</v>
      </c>
      <c r="M129" s="59">
        <f>A129*Table!$AD$9/$AC$16</f>
        <v>2463.2505598624125</v>
      </c>
      <c r="N129" s="59">
        <f>ABS(A129*Table!$AE$9/$AC$16)</f>
        <v>3110.9714427270069</v>
      </c>
      <c r="O129" s="59">
        <f>($L129*(Table!$AC$10/Table!$AC$9)/(Table!$AC$12-Table!$AC$14))</f>
        <v>15410.726725865945</v>
      </c>
      <c r="P129" s="59">
        <f>ROUND(($N129*(Table!$AE$10/Table!$AE$9)/(Table!$AC$12-Table!$AC$13)),2)</f>
        <v>25541.64</v>
      </c>
      <c r="Q129" s="59">
        <f>'Raw Data'!C129</f>
        <v>1.6352</v>
      </c>
      <c r="R129" s="59">
        <f>'Raw Data'!C129/'Raw Data'!I$30*100</f>
        <v>14.873616098926357</v>
      </c>
      <c r="S129" s="109">
        <f t="shared" si="7"/>
        <v>1.3930950938824181E-2</v>
      </c>
      <c r="T129" s="109">
        <f t="shared" si="8"/>
        <v>4.5488981581520704E-8</v>
      </c>
      <c r="U129" s="77">
        <f t="shared" si="9"/>
        <v>4.6484694806544667E-4</v>
      </c>
      <c r="V129" s="77">
        <f t="shared" si="10"/>
        <v>9.2340894786548621E-4</v>
      </c>
      <c r="W129" s="77">
        <f t="shared" si="11"/>
        <v>1.4288634909574947E-8</v>
      </c>
      <c r="X129" s="86">
        <f t="shared" si="12"/>
        <v>0.48018112886390296</v>
      </c>
      <c r="Z129" s="158"/>
      <c r="AS129" s="118"/>
      <c r="AT129" s="118"/>
    </row>
    <row r="130" spans="1:46" x14ac:dyDescent="0.2">
      <c r="A130" s="59">
        <v>34997.22265625</v>
      </c>
      <c r="B130" s="158">
        <v>0.99774459006400484</v>
      </c>
      <c r="C130" s="158">
        <f t="shared" si="1"/>
        <v>2.2554099359951563E-3</v>
      </c>
      <c r="D130" s="60">
        <f t="shared" si="2"/>
        <v>9.7531240475468017E-4</v>
      </c>
      <c r="E130" s="58">
        <f>(2*Table!$AC$16*0.147)/A130</f>
        <v>2.6189245405402292E-3</v>
      </c>
      <c r="F130" s="58">
        <f t="shared" si="3"/>
        <v>5.2378490810804585E-3</v>
      </c>
      <c r="G130" s="59">
        <f>IF((('Raw Data'!C130)/('Raw Data'!C$136)*100)&lt;0,0,('Raw Data'!C130)/('Raw Data'!C$136)*100)</f>
        <v>99.774459006400491</v>
      </c>
      <c r="H130" s="59">
        <f t="shared" si="4"/>
        <v>9.7531240475476011E-2</v>
      </c>
      <c r="I130" s="99">
        <f t="shared" si="5"/>
        <v>3.8926996738500197E-2</v>
      </c>
      <c r="J130" s="58">
        <f>'Raw Data'!F130/I130</f>
        <v>2.5054910125909127E-2</v>
      </c>
      <c r="K130" s="74">
        <f t="shared" si="6"/>
        <v>93.289647480343689</v>
      </c>
      <c r="L130" s="59">
        <f>A130*Table!$AC$9/$AC$16</f>
        <v>7858.1874664303141</v>
      </c>
      <c r="M130" s="59">
        <f>A130*Table!$AD$9/$AC$16</f>
        <v>2694.2357027761077</v>
      </c>
      <c r="N130" s="59">
        <f>ABS(A130*Table!$AE$9/$AC$16)</f>
        <v>3402.6949868145639</v>
      </c>
      <c r="O130" s="59">
        <f>($L130*(Table!$AC$10/Table!$AC$9)/(Table!$AC$12-Table!$AC$14))</f>
        <v>16855.828971322</v>
      </c>
      <c r="P130" s="59">
        <f>ROUND(($N130*(Table!$AE$10/Table!$AE$9)/(Table!$AC$12-Table!$AC$13)),2)</f>
        <v>27936.74</v>
      </c>
      <c r="Q130" s="59">
        <f>'Raw Data'!C130</f>
        <v>1.6368</v>
      </c>
      <c r="R130" s="59">
        <f>'Raw Data'!C130/'Raw Data'!I$30*100</f>
        <v>14.888169539336266</v>
      </c>
      <c r="S130" s="109">
        <f t="shared" si="7"/>
        <v>9.6910963052698577E-3</v>
      </c>
      <c r="T130" s="109">
        <f t="shared" si="8"/>
        <v>2.8185886846721075E-8</v>
      </c>
      <c r="U130" s="77">
        <f t="shared" si="9"/>
        <v>4.2541002997783465E-4</v>
      </c>
      <c r="V130" s="77">
        <f t="shared" si="10"/>
        <v>7.9485289232476039E-4</v>
      </c>
      <c r="W130" s="77">
        <f t="shared" si="11"/>
        <v>8.3086199261587892E-9</v>
      </c>
      <c r="X130" s="86">
        <f t="shared" si="12"/>
        <v>0.48018113717252286</v>
      </c>
      <c r="Z130" s="158"/>
      <c r="AS130" s="118"/>
      <c r="AT130" s="118"/>
    </row>
    <row r="131" spans="1:46" x14ac:dyDescent="0.2">
      <c r="A131" s="59">
        <v>38286.4140625</v>
      </c>
      <c r="B131" s="158">
        <v>0.9984760743675708</v>
      </c>
      <c r="C131" s="158">
        <f t="shared" si="1"/>
        <v>1.5239256324292016E-3</v>
      </c>
      <c r="D131" s="60">
        <f t="shared" si="2"/>
        <v>7.3148430356595462E-4</v>
      </c>
      <c r="E131" s="58">
        <f>(2*Table!$AC$16*0.147)/A131</f>
        <v>2.3939323519717166E-3</v>
      </c>
      <c r="F131" s="58">
        <f t="shared" si="3"/>
        <v>4.7878647039434332E-3</v>
      </c>
      <c r="G131" s="59">
        <f>IF((('Raw Data'!C131)/('Raw Data'!C$136)*100)&lt;0,0,('Raw Data'!C131)/('Raw Data'!C$136)*100)</f>
        <v>99.847607436757073</v>
      </c>
      <c r="H131" s="59">
        <f t="shared" si="4"/>
        <v>7.3148430356582139E-2</v>
      </c>
      <c r="I131" s="99">
        <f t="shared" si="5"/>
        <v>3.9011111316333391E-2</v>
      </c>
      <c r="J131" s="58">
        <f>'Raw Data'!F131/I131</f>
        <v>1.8750665615098555E-2</v>
      </c>
      <c r="K131" s="74">
        <f t="shared" si="6"/>
        <v>102.05741484858197</v>
      </c>
      <c r="L131" s="59">
        <f>A131*Table!$AC$9/$AC$16</f>
        <v>8596.7341487530648</v>
      </c>
      <c r="M131" s="59">
        <f>A131*Table!$AD$9/$AC$16</f>
        <v>2947.451708143908</v>
      </c>
      <c r="N131" s="59">
        <f>ABS(A131*Table!$AE$9/$AC$16)</f>
        <v>3722.4950812006732</v>
      </c>
      <c r="O131" s="59">
        <f>($L131*(Table!$AC$10/Table!$AC$9)/(Table!$AC$12-Table!$AC$14))</f>
        <v>18440.013189088517</v>
      </c>
      <c r="P131" s="59">
        <f>ROUND(($N131*(Table!$AE$10/Table!$AE$9)/(Table!$AC$12-Table!$AC$13)),2)</f>
        <v>30562.36</v>
      </c>
      <c r="Q131" s="59">
        <f>'Raw Data'!C131</f>
        <v>1.6379999999999999</v>
      </c>
      <c r="R131" s="59">
        <f>'Raw Data'!C131/'Raw Data'!I$30*100</f>
        <v>14.899084619643697</v>
      </c>
      <c r="S131" s="109">
        <f t="shared" si="7"/>
        <v>7.2683222289518425E-3</v>
      </c>
      <c r="T131" s="109">
        <f t="shared" si="8"/>
        <v>1.7342553171317832E-8</v>
      </c>
      <c r="U131" s="77">
        <f t="shared" si="9"/>
        <v>3.8914808253710944E-4</v>
      </c>
      <c r="V131" s="77">
        <f t="shared" si="10"/>
        <v>6.8368678095423051E-4</v>
      </c>
      <c r="W131" s="77">
        <f t="shared" si="11"/>
        <v>5.206764481359715E-9</v>
      </c>
      <c r="X131" s="86">
        <f t="shared" si="12"/>
        <v>0.48018114237928733</v>
      </c>
      <c r="Z131" s="158"/>
      <c r="AS131" s="118"/>
      <c r="AT131" s="118"/>
    </row>
    <row r="132" spans="1:46" x14ac:dyDescent="0.2">
      <c r="A132" s="59">
        <v>41872.66796875</v>
      </c>
      <c r="B132" s="158">
        <v>0.9993904297470283</v>
      </c>
      <c r="C132" s="158">
        <f t="shared" si="1"/>
        <v>6.0957025297170286E-4</v>
      </c>
      <c r="D132" s="60">
        <f t="shared" si="2"/>
        <v>9.1435537945749878E-4</v>
      </c>
      <c r="E132" s="58">
        <f>(2*Table!$AC$16*0.147)/A132</f>
        <v>2.1889000560844788E-3</v>
      </c>
      <c r="F132" s="58">
        <f t="shared" si="3"/>
        <v>4.3778001121689575E-3</v>
      </c>
      <c r="G132" s="59">
        <f>IF((('Raw Data'!C132)/('Raw Data'!C$136)*100)&lt;0,0,('Raw Data'!C132)/('Raw Data'!C$136)*100)</f>
        <v>99.939042974702829</v>
      </c>
      <c r="H132" s="59">
        <f t="shared" si="4"/>
        <v>9.1435537945756096E-2</v>
      </c>
      <c r="I132" s="99">
        <f t="shared" si="5"/>
        <v>3.8885941513310929E-2</v>
      </c>
      <c r="J132" s="58">
        <f>'Raw Data'!F132/I132</f>
        <v>2.3513777572918185E-2</v>
      </c>
      <c r="K132" s="74">
        <f t="shared" si="6"/>
        <v>111.61704093592007</v>
      </c>
      <c r="L132" s="59">
        <f>A132*Table!$AC$9/$AC$16</f>
        <v>9401.9824901524553</v>
      </c>
      <c r="M132" s="59">
        <f>A132*Table!$AD$9/$AC$16</f>
        <v>3223.5368537665563</v>
      </c>
      <c r="N132" s="59">
        <f>ABS(A132*Table!$AE$9/$AC$16)</f>
        <v>4071.1778412042513</v>
      </c>
      <c r="O132" s="59">
        <f>($L132*(Table!$AC$10/Table!$AC$9)/(Table!$AC$12-Table!$AC$14))</f>
        <v>20167.27260864963</v>
      </c>
      <c r="P132" s="59">
        <f>ROUND(($N132*(Table!$AE$10/Table!$AE$9)/(Table!$AC$12-Table!$AC$13)),2)</f>
        <v>33425.11</v>
      </c>
      <c r="Q132" s="59">
        <f>'Raw Data'!C132</f>
        <v>1.6395</v>
      </c>
      <c r="R132" s="59">
        <f>'Raw Data'!C132/'Raw Data'!I$30*100</f>
        <v>14.912728470027986</v>
      </c>
      <c r="S132" s="109">
        <f t="shared" si="7"/>
        <v>9.0854027861903535E-3</v>
      </c>
      <c r="T132" s="109">
        <f t="shared" si="8"/>
        <v>6.0106996047082362E-9</v>
      </c>
      <c r="U132" s="77">
        <f t="shared" si="9"/>
        <v>3.5614469278999629E-4</v>
      </c>
      <c r="V132" s="77">
        <f t="shared" si="10"/>
        <v>5.8853631841249197E-4</v>
      </c>
      <c r="W132" s="77">
        <f t="shared" si="11"/>
        <v>5.4413425070336786E-9</v>
      </c>
      <c r="X132" s="86">
        <f t="shared" si="12"/>
        <v>0.48018114782062982</v>
      </c>
      <c r="Z132" s="158"/>
      <c r="AS132" s="118"/>
      <c r="AT132" s="118"/>
    </row>
    <row r="133" spans="1:46" x14ac:dyDescent="0.2">
      <c r="A133" s="59">
        <v>45770.91015625</v>
      </c>
      <c r="B133" s="158">
        <v>0.99981712892410857</v>
      </c>
      <c r="C133" s="158">
        <f t="shared" si="1"/>
        <v>1.8287107589143314E-4</v>
      </c>
      <c r="D133" s="60">
        <f t="shared" si="2"/>
        <v>4.2669917708026972E-4</v>
      </c>
      <c r="E133" s="58">
        <f>(2*Table!$AC$16*0.147)/A133</f>
        <v>2.002474605646184E-3</v>
      </c>
      <c r="F133" s="58">
        <f t="shared" si="3"/>
        <v>4.004949211292368E-3</v>
      </c>
      <c r="G133" s="59">
        <f>IF((('Raw Data'!C133)/('Raw Data'!C$136)*100)&lt;0,0,('Raw Data'!C133)/('Raw Data'!C$136)*100)</f>
        <v>99.981712892410854</v>
      </c>
      <c r="H133" s="59">
        <f t="shared" si="4"/>
        <v>4.2669917708025196E-2</v>
      </c>
      <c r="I133" s="99">
        <f t="shared" si="5"/>
        <v>3.8658915093004786E-2</v>
      </c>
      <c r="J133" s="58">
        <f>'Raw Data'!F133/I133</f>
        <v>1.1037536259197291E-2</v>
      </c>
      <c r="K133" s="74">
        <f t="shared" si="6"/>
        <v>122.00831235299449</v>
      </c>
      <c r="L133" s="59">
        <f>A133*Table!$AC$9/$AC$16</f>
        <v>10277.283887632115</v>
      </c>
      <c r="M133" s="59">
        <f>A133*Table!$AD$9/$AC$16</f>
        <v>3523.6401900452965</v>
      </c>
      <c r="N133" s="59">
        <f>ABS(A133*Table!$AE$9/$AC$16)</f>
        <v>4450.1944642969547</v>
      </c>
      <c r="O133" s="59">
        <f>($L133*(Table!$AC$10/Table!$AC$9)/(Table!$AC$12-Table!$AC$14))</f>
        <v>22044.795983766875</v>
      </c>
      <c r="P133" s="59">
        <f>ROUND(($N133*(Table!$AE$10/Table!$AE$9)/(Table!$AC$12-Table!$AC$13)),2)</f>
        <v>36536.9</v>
      </c>
      <c r="Q133" s="59">
        <f>'Raw Data'!C133</f>
        <v>1.6402000000000001</v>
      </c>
      <c r="R133" s="59">
        <f>'Raw Data'!C133/'Raw Data'!I$30*100</f>
        <v>14.919095600207321</v>
      </c>
      <c r="S133" s="109">
        <f t="shared" si="7"/>
        <v>4.2398546335565279E-3</v>
      </c>
      <c r="T133" s="109">
        <f t="shared" si="8"/>
        <v>1.584918751795783E-9</v>
      </c>
      <c r="U133" s="77">
        <f t="shared" si="9"/>
        <v>3.2595147331083003E-4</v>
      </c>
      <c r="V133" s="77">
        <f t="shared" si="10"/>
        <v>5.0665756484958072E-4</v>
      </c>
      <c r="W133" s="77">
        <f t="shared" si="11"/>
        <v>2.1251765463213359E-9</v>
      </c>
      <c r="X133" s="86">
        <f t="shared" si="12"/>
        <v>0.48018114994580635</v>
      </c>
      <c r="Z133" s="158"/>
      <c r="AS133" s="118"/>
      <c r="AT133" s="118"/>
    </row>
    <row r="134" spans="1:46" x14ac:dyDescent="0.2">
      <c r="A134" s="59">
        <v>50071.73046875</v>
      </c>
      <c r="B134" s="158">
        <v>1</v>
      </c>
      <c r="C134" s="158">
        <f t="shared" si="1"/>
        <v>0</v>
      </c>
      <c r="D134" s="60">
        <f t="shared" si="2"/>
        <v>1.8287107589143314E-4</v>
      </c>
      <c r="E134" s="58">
        <f>(2*Table!$AC$16*0.147)/A134</f>
        <v>1.8304756877217576E-3</v>
      </c>
      <c r="F134" s="58">
        <f t="shared" si="3"/>
        <v>3.6609513754435152E-3</v>
      </c>
      <c r="G134" s="59">
        <f>IF((('Raw Data'!C134)/('Raw Data'!C$136)*100)&lt;0,0,('Raw Data'!C134)/('Raw Data'!C$136)*100)</f>
        <v>100</v>
      </c>
      <c r="H134" s="59">
        <f t="shared" si="4"/>
        <v>1.8287107589145535E-2</v>
      </c>
      <c r="I134" s="99">
        <f t="shared" si="5"/>
        <v>3.9003052311537889E-2</v>
      </c>
      <c r="J134" s="58">
        <f>'Raw Data'!F134/I134</f>
        <v>4.6886349927371248E-3</v>
      </c>
      <c r="K134" s="74">
        <f t="shared" si="6"/>
        <v>133.47270810720369</v>
      </c>
      <c r="L134" s="59">
        <f>A134*Table!$AC$9/$AC$16</f>
        <v>11242.979154568413</v>
      </c>
      <c r="M134" s="59">
        <f>A134*Table!$AD$9/$AC$16</f>
        <v>3854.7357101377415</v>
      </c>
      <c r="N134" s="59">
        <f>ABS(A134*Table!$AE$9/$AC$16)</f>
        <v>4868.352781037569</v>
      </c>
      <c r="O134" s="59">
        <f>($L134*(Table!$AC$10/Table!$AC$9)/(Table!$AC$12-Table!$AC$14))</f>
        <v>24116.214402763653</v>
      </c>
      <c r="P134" s="59">
        <f>ROUND(($N134*(Table!$AE$10/Table!$AE$9)/(Table!$AC$12-Table!$AC$13)),2)</f>
        <v>39970.06</v>
      </c>
      <c r="Q134" s="59">
        <f>'Raw Data'!C134</f>
        <v>1.6405000000000001</v>
      </c>
      <c r="R134" s="59">
        <f>'Raw Data'!C134/'Raw Data'!I$30*100</f>
        <v>14.921824370284179</v>
      </c>
      <c r="S134" s="109">
        <f t="shared" si="7"/>
        <v>1.817080557237409E-3</v>
      </c>
      <c r="T134" s="109">
        <f t="shared" si="8"/>
        <v>0</v>
      </c>
      <c r="U134" s="77">
        <f t="shared" si="9"/>
        <v>2.9800896095646143E-4</v>
      </c>
      <c r="V134" s="77">
        <f t="shared" si="10"/>
        <v>4.3540627257850875E-4</v>
      </c>
      <c r="W134" s="77">
        <f t="shared" si="11"/>
        <v>7.6104813219396176E-10</v>
      </c>
      <c r="X134" s="86">
        <f t="shared" si="12"/>
        <v>0.48018115070685446</v>
      </c>
      <c r="Z134" s="158"/>
      <c r="AS134" s="118"/>
      <c r="AT134" s="118"/>
    </row>
    <row r="135" spans="1:46" x14ac:dyDescent="0.2">
      <c r="A135" s="59">
        <v>54771.234375</v>
      </c>
      <c r="B135" s="158">
        <v>1</v>
      </c>
      <c r="C135" s="158">
        <f t="shared" si="1"/>
        <v>0</v>
      </c>
      <c r="D135" s="60">
        <f t="shared" si="2"/>
        <v>0</v>
      </c>
      <c r="E135" s="58">
        <f>(2*Table!$AC$16*0.147)/A135</f>
        <v>1.6734164623289749E-3</v>
      </c>
      <c r="F135" s="58">
        <f t="shared" si="3"/>
        <v>3.3468329246579497E-3</v>
      </c>
      <c r="G135" s="59">
        <f>IF((('Raw Data'!C135)/('Raw Data'!C$136)*100)&lt;0,0,('Raw Data'!C135)/('Raw Data'!C$136)*100)</f>
        <v>100</v>
      </c>
      <c r="H135" s="59">
        <f t="shared" si="4"/>
        <v>0</v>
      </c>
      <c r="I135" s="99">
        <f t="shared" si="5"/>
        <v>3.8959927913029713E-2</v>
      </c>
      <c r="J135" s="58">
        <f>'Raw Data'!F135/I135</f>
        <v>0</v>
      </c>
      <c r="K135" s="74">
        <f t="shared" si="6"/>
        <v>145.99984681911707</v>
      </c>
      <c r="L135" s="59">
        <f>A135*Table!$AC$9/$AC$16</f>
        <v>12298.193822808349</v>
      </c>
      <c r="M135" s="59">
        <f>A135*Table!$AD$9/$AC$16</f>
        <v>4216.5235963914338</v>
      </c>
      <c r="N135" s="59">
        <f>ABS(A135*Table!$AE$9/$AC$16)</f>
        <v>5325.2741356084452</v>
      </c>
      <c r="O135" s="59">
        <f>($L135*(Table!$AC$10/Table!$AC$9)/(Table!$AC$12-Table!$AC$14))</f>
        <v>26379.652129576043</v>
      </c>
      <c r="P135" s="59">
        <f>ROUND(($N135*(Table!$AE$10/Table!$AE$9)/(Table!$AC$12-Table!$AC$13)),2)</f>
        <v>43721.46</v>
      </c>
      <c r="Q135" s="59">
        <f>'Raw Data'!C135</f>
        <v>1.6405000000000001</v>
      </c>
      <c r="R135" s="59">
        <f>'Raw Data'!C135/'Raw Data'!I$30*100</f>
        <v>14.921824370284179</v>
      </c>
      <c r="S135" s="109">
        <f t="shared" si="7"/>
        <v>0</v>
      </c>
      <c r="T135" s="109">
        <f t="shared" si="8"/>
        <v>0</v>
      </c>
      <c r="U135" s="77">
        <f t="shared" si="9"/>
        <v>2.7243907391459403E-4</v>
      </c>
      <c r="V135" s="77">
        <f t="shared" si="10"/>
        <v>3.741221687217512E-4</v>
      </c>
      <c r="W135" s="77">
        <f t="shared" si="11"/>
        <v>0</v>
      </c>
      <c r="X135" s="86">
        <f t="shared" si="12"/>
        <v>0.48018115070685446</v>
      </c>
      <c r="AS135" s="118"/>
      <c r="AT135" s="118"/>
    </row>
    <row r="136" spans="1:46" x14ac:dyDescent="0.2">
      <c r="A136" s="59">
        <v>59468.87109375</v>
      </c>
      <c r="B136" s="158">
        <v>1</v>
      </c>
      <c r="C136" s="158">
        <f t="shared" si="1"/>
        <v>0</v>
      </c>
      <c r="D136" s="60">
        <f t="shared" si="2"/>
        <v>0</v>
      </c>
      <c r="E136" s="58">
        <f>(2*Table!$AC$16*0.147)/A136</f>
        <v>1.5412279328577386E-3</v>
      </c>
      <c r="F136" s="58">
        <f t="shared" si="3"/>
        <v>3.0824558657154772E-3</v>
      </c>
      <c r="G136" s="59">
        <f>IF((('Raw Data'!C136)/('Raw Data'!C$136)*100)&lt;0,0,('Raw Data'!C136)/('Raw Data'!C$136)*100)</f>
        <v>100</v>
      </c>
      <c r="H136" s="59">
        <f t="shared" si="4"/>
        <v>0</v>
      </c>
      <c r="I136" s="99">
        <f t="shared" si="5"/>
        <v>3.5737165602411913E-2</v>
      </c>
      <c r="J136" s="58">
        <f>'Raw Data'!F136/I136</f>
        <v>0</v>
      </c>
      <c r="K136" s="74">
        <f t="shared" si="6"/>
        <v>158.52200829996937</v>
      </c>
      <c r="L136" s="59">
        <f>A136*Table!$AC$9/$AC$16</f>
        <v>13352.989237510539</v>
      </c>
      <c r="M136" s="59">
        <f>A136*Table!$AD$9/$AC$16</f>
        <v>4578.1677385750418</v>
      </c>
      <c r="N136" s="59">
        <f>ABS(A136*Table!$AE$9/$AC$16)</f>
        <v>5782.0139480721646</v>
      </c>
      <c r="O136" s="59">
        <f>($L136*(Table!$AC$10/Table!$AC$9)/(Table!$AC$12-Table!$AC$14))</f>
        <v>28642.190556650665</v>
      </c>
      <c r="P136" s="59">
        <f>ROUND(($N136*(Table!$AE$10/Table!$AE$9)/(Table!$AC$12-Table!$AC$13)),2)</f>
        <v>47471.38</v>
      </c>
      <c r="Q136" s="59">
        <f>'Raw Data'!C136</f>
        <v>1.6405000000000001</v>
      </c>
      <c r="R136" s="59">
        <f>'Raw Data'!C136/'Raw Data'!I$30*100</f>
        <v>14.921824370284179</v>
      </c>
      <c r="S136" s="109">
        <f t="shared" si="7"/>
        <v>0</v>
      </c>
      <c r="T136" s="109">
        <f t="shared" si="8"/>
        <v>0</v>
      </c>
      <c r="U136" s="77">
        <f t="shared" si="9"/>
        <v>2.5091823832943782E-4</v>
      </c>
      <c r="V136" s="77">
        <f t="shared" si="10"/>
        <v>3.2552316256296345E-4</v>
      </c>
      <c r="W136" s="77">
        <f t="shared" si="11"/>
        <v>0</v>
      </c>
      <c r="X136" s="86">
        <f t="shared" si="12"/>
        <v>0.48018115070685446</v>
      </c>
      <c r="AS136" s="118"/>
      <c r="AT136" s="118"/>
    </row>
    <row r="137" spans="1:46" x14ac:dyDescent="0.2">
      <c r="A137" s="59"/>
      <c r="B137" s="158"/>
      <c r="C137" s="158"/>
      <c r="D137" s="62"/>
      <c r="E137" s="62"/>
      <c r="F137" s="62"/>
      <c r="G137" s="62"/>
      <c r="H137" s="62"/>
      <c r="I137" s="62"/>
      <c r="J137" s="58"/>
      <c r="K137" s="48"/>
      <c r="L137" s="59"/>
      <c r="M137" s="59"/>
      <c r="N137" s="59"/>
      <c r="O137" s="59"/>
      <c r="P137" s="59"/>
      <c r="Q137" s="59"/>
      <c r="AS137" s="118"/>
      <c r="AT137" s="118"/>
    </row>
    <row r="138" spans="1:46" x14ac:dyDescent="0.2">
      <c r="A138" s="59"/>
      <c r="B138" s="158"/>
      <c r="C138" s="158"/>
      <c r="D138" s="62"/>
      <c r="E138" s="62"/>
      <c r="F138" s="62"/>
      <c r="G138" s="62"/>
      <c r="H138" s="62"/>
      <c r="I138" s="62"/>
      <c r="J138" s="58"/>
      <c r="K138" s="48"/>
      <c r="L138" s="59"/>
      <c r="M138" s="59"/>
      <c r="N138" s="59"/>
      <c r="O138" s="59"/>
      <c r="P138" s="59"/>
      <c r="Q138" s="59"/>
      <c r="AS138" s="118"/>
      <c r="AT138" s="118"/>
    </row>
    <row r="139" spans="1:46" x14ac:dyDescent="0.2">
      <c r="A139" s="59"/>
      <c r="B139" s="158"/>
      <c r="C139" s="158"/>
      <c r="D139" s="62"/>
      <c r="E139" s="62"/>
      <c r="F139" s="62"/>
      <c r="G139" s="62"/>
      <c r="H139" s="62"/>
      <c r="I139" s="62"/>
      <c r="J139" s="58"/>
      <c r="K139" s="48"/>
      <c r="L139" s="59"/>
      <c r="M139" s="59"/>
      <c r="N139" s="59"/>
      <c r="O139" s="59"/>
      <c r="P139" s="59"/>
      <c r="Q139" s="59"/>
      <c r="AS139" s="118"/>
      <c r="AT139" s="118"/>
    </row>
    <row r="140" spans="1:46" x14ac:dyDescent="0.2">
      <c r="A140" s="59"/>
      <c r="B140" s="158"/>
      <c r="C140" s="158"/>
      <c r="D140" s="62"/>
      <c r="E140" s="62"/>
      <c r="F140" s="62"/>
      <c r="G140" s="62"/>
      <c r="H140" s="62"/>
      <c r="I140" s="62"/>
      <c r="J140" s="58"/>
      <c r="K140" s="48"/>
      <c r="L140" s="59"/>
      <c r="M140" s="59"/>
      <c r="N140" s="59"/>
      <c r="O140" s="59"/>
      <c r="P140" s="59"/>
      <c r="Q140" s="59"/>
      <c r="AS140" s="118"/>
      <c r="AT140" s="118"/>
    </row>
    <row r="141" spans="1:46" x14ac:dyDescent="0.2">
      <c r="A141" s="59"/>
      <c r="B141" s="158"/>
      <c r="C141" s="158"/>
      <c r="D141" s="62"/>
      <c r="E141" s="62"/>
      <c r="F141" s="62"/>
      <c r="G141" s="62"/>
      <c r="H141" s="62"/>
      <c r="I141" s="62"/>
      <c r="J141" s="58"/>
      <c r="K141" s="48"/>
      <c r="L141" s="59"/>
      <c r="M141" s="59"/>
      <c r="N141" s="59"/>
      <c r="O141" s="59"/>
      <c r="P141" s="59"/>
      <c r="Q141" s="59"/>
      <c r="AS141" s="118"/>
      <c r="AT141" s="118"/>
    </row>
    <row r="142" spans="1:46" x14ac:dyDescent="0.2">
      <c r="A142" s="59"/>
      <c r="B142" s="158"/>
      <c r="C142" s="158"/>
      <c r="D142" s="62"/>
      <c r="E142" s="62"/>
      <c r="F142" s="62"/>
      <c r="G142" s="62"/>
      <c r="H142" s="62"/>
      <c r="I142" s="62"/>
      <c r="J142" s="58"/>
      <c r="K142" s="48"/>
      <c r="L142" s="59"/>
      <c r="M142" s="59"/>
      <c r="N142" s="59"/>
      <c r="O142" s="59"/>
      <c r="P142" s="59"/>
      <c r="Q142" s="59"/>
      <c r="AS142" s="118"/>
      <c r="AT142" s="118"/>
    </row>
    <row r="143" spans="1:46" x14ac:dyDescent="0.2">
      <c r="J143" s="58"/>
      <c r="AS143" s="118"/>
      <c r="AT143" s="118"/>
    </row>
    <row r="144" spans="1:46" x14ac:dyDescent="0.2">
      <c r="J144" s="58"/>
      <c r="AS144" s="118"/>
      <c r="AT144" s="118"/>
    </row>
    <row r="145" spans="10:46" x14ac:dyDescent="0.2">
      <c r="J145" s="58"/>
      <c r="AS145" s="118"/>
      <c r="AT145" s="118"/>
    </row>
    <row r="146" spans="10:46" x14ac:dyDescent="0.2">
      <c r="J146" s="58"/>
      <c r="AS146" s="118"/>
      <c r="AT146" s="118"/>
    </row>
    <row r="147" spans="10:46" x14ac:dyDescent="0.2">
      <c r="J147" s="58"/>
      <c r="AS147" s="118"/>
      <c r="AT147" s="118"/>
    </row>
    <row r="148" spans="10:46" x14ac:dyDescent="0.2">
      <c r="J148" s="58"/>
      <c r="AS148" s="118"/>
      <c r="AT148" s="118"/>
    </row>
    <row r="149" spans="10:46" x14ac:dyDescent="0.2">
      <c r="J149" s="58"/>
      <c r="AS149" s="118"/>
      <c r="AT149" s="118"/>
    </row>
    <row r="150" spans="10:46" x14ac:dyDescent="0.2">
      <c r="J150" s="58"/>
      <c r="AS150" s="118"/>
      <c r="AT150" s="118"/>
    </row>
    <row r="151" spans="10:46" x14ac:dyDescent="0.2">
      <c r="J151" s="58"/>
      <c r="AS151" s="118"/>
      <c r="AT151" s="118"/>
    </row>
    <row r="152" spans="10:46" x14ac:dyDescent="0.2">
      <c r="J152" s="58"/>
      <c r="AS152" s="118"/>
      <c r="AT152" s="118"/>
    </row>
    <row r="153" spans="10:46" x14ac:dyDescent="0.2">
      <c r="J153" s="58"/>
      <c r="AS153" s="118"/>
      <c r="AT153" s="118"/>
    </row>
    <row r="154" spans="10:46" x14ac:dyDescent="0.2">
      <c r="J154" s="58"/>
      <c r="AS154" s="118"/>
      <c r="AT154" s="118"/>
    </row>
    <row r="155" spans="10:46" x14ac:dyDescent="0.2">
      <c r="J155" s="58"/>
      <c r="AS155" s="118"/>
      <c r="AT155" s="118"/>
    </row>
    <row r="156" spans="10:46" x14ac:dyDescent="0.2">
      <c r="J156" s="58"/>
      <c r="AS156" s="118"/>
      <c r="AT156" s="118"/>
    </row>
    <row r="157" spans="10:46" x14ac:dyDescent="0.2">
      <c r="J157" s="58"/>
      <c r="AS157" s="118"/>
      <c r="AT157" s="118"/>
    </row>
    <row r="158" spans="10:46" x14ac:dyDescent="0.2">
      <c r="J158" s="58"/>
      <c r="AS158" s="118"/>
      <c r="AT158" s="118"/>
    </row>
    <row r="159" spans="10:46" x14ac:dyDescent="0.2">
      <c r="J159" s="58"/>
      <c r="AS159" s="118"/>
      <c r="AT159" s="118"/>
    </row>
    <row r="160" spans="10:46" x14ac:dyDescent="0.2">
      <c r="J160" s="58"/>
      <c r="AS160" s="118"/>
      <c r="AT160" s="118"/>
    </row>
    <row r="161" spans="10:46" x14ac:dyDescent="0.2">
      <c r="J161" s="58"/>
      <c r="AS161" s="118"/>
      <c r="AT161" s="118"/>
    </row>
    <row r="162" spans="10:46" x14ac:dyDescent="0.2">
      <c r="J162" s="58"/>
    </row>
    <row r="163" spans="10:46" x14ac:dyDescent="0.2">
      <c r="J163" s="58"/>
    </row>
    <row r="164" spans="10:46" x14ac:dyDescent="0.2">
      <c r="J164" s="58"/>
    </row>
    <row r="165" spans="10:46" x14ac:dyDescent="0.2">
      <c r="J165" s="58"/>
    </row>
    <row r="166" spans="10:46" x14ac:dyDescent="0.2">
      <c r="J166" s="58"/>
    </row>
    <row r="167" spans="10:46" x14ac:dyDescent="0.2">
      <c r="J167" s="58"/>
    </row>
    <row r="168" spans="10:46" x14ac:dyDescent="0.2">
      <c r="J168" s="58"/>
    </row>
    <row r="169" spans="10:46" x14ac:dyDescent="0.2">
      <c r="J169" s="58"/>
    </row>
    <row r="170" spans="10:46" x14ac:dyDescent="0.2">
      <c r="J170" s="58"/>
    </row>
    <row r="171" spans="10:46" x14ac:dyDescent="0.2">
      <c r="J171" s="58"/>
    </row>
    <row r="172" spans="10:46" x14ac:dyDescent="0.2">
      <c r="J172" s="58"/>
    </row>
    <row r="173" spans="10:46" x14ac:dyDescent="0.2">
      <c r="J173" s="58"/>
    </row>
    <row r="174" spans="10:46" x14ac:dyDescent="0.2">
      <c r="J174" s="58"/>
    </row>
    <row r="175" spans="10:46" x14ac:dyDescent="0.2">
      <c r="J175" s="58"/>
    </row>
    <row r="176" spans="10:46" x14ac:dyDescent="0.2">
      <c r="J176" s="58"/>
    </row>
    <row r="177" spans="10:10" x14ac:dyDescent="0.2">
      <c r="J177" s="58"/>
    </row>
    <row r="178" spans="10:10" x14ac:dyDescent="0.2">
      <c r="J178" s="58"/>
    </row>
    <row r="179" spans="10:10" x14ac:dyDescent="0.2">
      <c r="J179" s="58"/>
    </row>
    <row r="180" spans="10:10" x14ac:dyDescent="0.2">
      <c r="J180" s="58"/>
    </row>
    <row r="181" spans="10:10" x14ac:dyDescent="0.2">
      <c r="J181" s="58"/>
    </row>
    <row r="182" spans="10:10" x14ac:dyDescent="0.2">
      <c r="J182" s="58"/>
    </row>
    <row r="183" spans="10:10" x14ac:dyDescent="0.2">
      <c r="J183" s="58"/>
    </row>
    <row r="184" spans="10:10" x14ac:dyDescent="0.2">
      <c r="J184" s="58"/>
    </row>
    <row r="185" spans="10:10" x14ac:dyDescent="0.2">
      <c r="J185" s="58"/>
    </row>
    <row r="186" spans="10:10" x14ac:dyDescent="0.2">
      <c r="J186" s="58"/>
    </row>
    <row r="187" spans="10:10" x14ac:dyDescent="0.2">
      <c r="J187" s="58"/>
    </row>
    <row r="188" spans="10:10" x14ac:dyDescent="0.2">
      <c r="J188" s="58"/>
    </row>
    <row r="189" spans="10:10" x14ac:dyDescent="0.2">
      <c r="J189" s="58"/>
    </row>
    <row r="190" spans="10:10" x14ac:dyDescent="0.2">
      <c r="J190" s="58"/>
    </row>
  </sheetData>
  <mergeCells count="3">
    <mergeCell ref="AR4:AT4"/>
    <mergeCell ref="AN4:AP4"/>
    <mergeCell ref="A5:P5"/>
  </mergeCells>
  <printOptions horizontalCentered="1"/>
  <pageMargins left="0.5" right="0.5" top="0.1" bottom="0.25" header="0" footer="0"/>
  <pageSetup scale="37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Raw Data</vt:lpstr>
      <vt:lpstr>Compilation</vt:lpstr>
      <vt:lpstr>Compilation 2</vt:lpstr>
      <vt:lpstr>Table</vt:lpstr>
      <vt:lpstr>Compilation!Print_Area</vt:lpstr>
      <vt:lpstr>'Compilation 2'!Print_Area</vt:lpstr>
      <vt:lpstr>'Raw Data'!Print_Area</vt:lpstr>
      <vt:lpstr>Table!Print_Area</vt:lpstr>
      <vt:lpstr>'Raw Data'!Print_Titles</vt:lpstr>
      <vt:lpstr>Table!Print_Titles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Badgett, Simon J</cp:lastModifiedBy>
  <dcterms:created xsi:type="dcterms:W3CDTF">2013-03-19T19:19:27Z</dcterms:created>
  <dcterms:modified xsi:type="dcterms:W3CDTF">2013-03-19T19:19:29Z</dcterms:modified>
</cp:coreProperties>
</file>